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Our City Our Home Prop. C Oversight Comm\FY21-22 Committee Materials\Investment Plan\Mayor's Phase\"/>
    </mc:Choice>
  </mc:AlternateContent>
  <xr:revisionPtr revIDLastSave="0" documentId="13_ncr:1_{8A0168C9-46E5-4645-A483-5E18FCFBF4C5}" xr6:coauthVersionLast="47" xr6:coauthVersionMax="47" xr10:uidLastSave="{00000000-0000-0000-0000-000000000000}"/>
  <bookViews>
    <workbookView xWindow="28680" yWindow="-120" windowWidth="29040" windowHeight="17640" xr2:uid="{ADCBB847-71E8-4877-A7B6-8022C1AA8B40}"/>
  </bookViews>
  <sheets>
    <sheet name="OCOH FY23 &amp; FY24 Crosswalk" sheetId="14" r:id="rId1"/>
    <sheet name="OCOH Budgets FY23 &amp; FY24" sheetId="7" state="hidden" r:id="rId2"/>
    <sheet name="Committee Prop Recs FY23 &amp; FY24" sheetId="13" state="hidden" r:id="rId3"/>
    <sheet name="Fund rebalance 3.5 admin alloc." sheetId="12" r:id="rId4"/>
  </sheets>
  <definedNames>
    <definedName name="_xlnm._FilterDatabase" localSheetId="2" hidden="1">'Committee Prop Recs FY23 &amp; FY24'!$A$1:$M$18</definedName>
    <definedName name="_xlnm._FilterDatabase" localSheetId="1" hidden="1">'OCOH Budgets FY23 &amp; FY24'!$A$18:$N$18</definedName>
    <definedName name="_xlnm._FilterDatabase" localSheetId="0" hidden="1">'OCOH FY23 &amp; FY24 Crosswalk'!$A$18:$L$18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2" i="14" l="1"/>
  <c r="K51" i="14"/>
  <c r="D35" i="12"/>
  <c r="C35" i="12"/>
  <c r="D34" i="12"/>
  <c r="C34" i="12"/>
  <c r="D33" i="12"/>
  <c r="C33" i="12"/>
  <c r="D29" i="12"/>
  <c r="D32" i="12" s="1"/>
  <c r="C29" i="12"/>
  <c r="C32" i="12" s="1"/>
  <c r="K60" i="14"/>
  <c r="E60" i="14"/>
  <c r="D60" i="14"/>
  <c r="F60" i="14" s="1"/>
  <c r="F169" i="14"/>
  <c r="F165" i="14"/>
  <c r="K58" i="14"/>
  <c r="F58" i="14"/>
  <c r="F54" i="14"/>
  <c r="K15" i="14"/>
  <c r="F15" i="14"/>
  <c r="K37" i="14"/>
  <c r="F33" i="14"/>
  <c r="F81" i="14"/>
  <c r="F77" i="14"/>
  <c r="E83" i="14"/>
  <c r="D83" i="14"/>
  <c r="F83" i="14" s="1"/>
  <c r="F103" i="14"/>
  <c r="C30" i="12" l="1"/>
  <c r="D30" i="12"/>
  <c r="C31" i="12"/>
  <c r="D31" i="12"/>
  <c r="E12" i="14"/>
  <c r="D12" i="14"/>
  <c r="C12" i="14"/>
  <c r="F11" i="14"/>
  <c r="F10" i="14"/>
  <c r="F9" i="14"/>
  <c r="F8" i="14"/>
  <c r="F7" i="14"/>
  <c r="F6" i="14"/>
  <c r="F5" i="14"/>
  <c r="F4" i="14"/>
  <c r="F3" i="14"/>
  <c r="J69" i="14"/>
  <c r="F164" i="14"/>
  <c r="E167" i="14"/>
  <c r="E170" i="14" s="1"/>
  <c r="D167" i="14"/>
  <c r="K146" i="14"/>
  <c r="F146" i="14"/>
  <c r="F163" i="14"/>
  <c r="F162" i="14"/>
  <c r="F160" i="14"/>
  <c r="F145" i="14"/>
  <c r="F142" i="14"/>
  <c r="F144" i="14"/>
  <c r="F143" i="14"/>
  <c r="F139" i="14"/>
  <c r="F141" i="14"/>
  <c r="F140" i="14"/>
  <c r="F138" i="14"/>
  <c r="F137" i="14"/>
  <c r="F136" i="14"/>
  <c r="F135" i="14"/>
  <c r="F149" i="14"/>
  <c r="F155" i="14"/>
  <c r="F158" i="14"/>
  <c r="F157" i="14"/>
  <c r="F156" i="14"/>
  <c r="F148" i="14"/>
  <c r="F154" i="14"/>
  <c r="F153" i="14"/>
  <c r="F152" i="14"/>
  <c r="F151" i="14"/>
  <c r="F150" i="14"/>
  <c r="F147" i="14"/>
  <c r="E127" i="14"/>
  <c r="D127" i="14"/>
  <c r="D130" i="14" s="1"/>
  <c r="D131" i="14" s="1"/>
  <c r="F124" i="14"/>
  <c r="F114" i="14"/>
  <c r="F113" i="14"/>
  <c r="F122" i="14"/>
  <c r="C170" i="14"/>
  <c r="C167" i="14"/>
  <c r="C130" i="14"/>
  <c r="C127" i="14"/>
  <c r="C108" i="14"/>
  <c r="C109" i="14" s="1"/>
  <c r="C105" i="14"/>
  <c r="C82" i="14"/>
  <c r="C79" i="14"/>
  <c r="C59" i="14"/>
  <c r="C56" i="14"/>
  <c r="C38" i="14"/>
  <c r="C39" i="14" s="1"/>
  <c r="C35" i="14"/>
  <c r="E105" i="14"/>
  <c r="E108" i="14" s="1"/>
  <c r="D105" i="14"/>
  <c r="F98" i="14"/>
  <c r="F97" i="14"/>
  <c r="F102" i="14"/>
  <c r="F96" i="14"/>
  <c r="F95" i="14"/>
  <c r="F89" i="14"/>
  <c r="F88" i="14"/>
  <c r="F87" i="14"/>
  <c r="F94" i="14"/>
  <c r="F100" i="14"/>
  <c r="E79" i="14"/>
  <c r="E82" i="14" s="1"/>
  <c r="D79" i="14"/>
  <c r="F65" i="14"/>
  <c r="F68" i="14"/>
  <c r="F66" i="14"/>
  <c r="F76" i="14"/>
  <c r="F74" i="14"/>
  <c r="F73" i="14"/>
  <c r="F67" i="14"/>
  <c r="F70" i="14"/>
  <c r="F69" i="14"/>
  <c r="D56" i="14"/>
  <c r="E56" i="14"/>
  <c r="F45" i="14"/>
  <c r="F48" i="14"/>
  <c r="F46" i="14"/>
  <c r="F52" i="14"/>
  <c r="F53" i="14"/>
  <c r="F50" i="14"/>
  <c r="F47" i="14"/>
  <c r="F49" i="14"/>
  <c r="F12" i="14" l="1"/>
  <c r="D82" i="14"/>
  <c r="F82" i="14" s="1"/>
  <c r="F79" i="14"/>
  <c r="C171" i="14"/>
  <c r="D108" i="14"/>
  <c r="D109" i="14" s="1"/>
  <c r="E109" i="14" s="1"/>
  <c r="F105" i="14"/>
  <c r="D170" i="14"/>
  <c r="F170" i="14" s="1"/>
  <c r="F167" i="14"/>
  <c r="F56" i="14"/>
  <c r="D59" i="14"/>
  <c r="F172" i="14"/>
  <c r="F20" i="14"/>
  <c r="F31" i="14"/>
  <c r="F30" i="14"/>
  <c r="F29" i="14"/>
  <c r="F28" i="14"/>
  <c r="F27" i="14"/>
  <c r="F26" i="14"/>
  <c r="D19" i="14"/>
  <c r="D35" i="14" s="1"/>
  <c r="D38" i="14" s="1"/>
  <c r="D39" i="14" s="1"/>
  <c r="F25" i="14"/>
  <c r="F21" i="14"/>
  <c r="F32" i="14"/>
  <c r="F23" i="14"/>
  <c r="F22" i="14"/>
  <c r="K141" i="14"/>
  <c r="K169" i="14"/>
  <c r="K156" i="14"/>
  <c r="H167" i="14"/>
  <c r="H130" i="14"/>
  <c r="J71" i="14"/>
  <c r="K153" i="14"/>
  <c r="K152" i="14"/>
  <c r="K151" i="14"/>
  <c r="K150" i="14"/>
  <c r="K149" i="14"/>
  <c r="K148" i="14"/>
  <c r="K147" i="14"/>
  <c r="J159" i="14"/>
  <c r="K159" i="14" s="1"/>
  <c r="K154" i="14"/>
  <c r="K155" i="14"/>
  <c r="K157" i="14"/>
  <c r="K158" i="14"/>
  <c r="I172" i="14"/>
  <c r="K172" i="14" s="1"/>
  <c r="K135" i="14"/>
  <c r="K136" i="14"/>
  <c r="K137" i="14"/>
  <c r="K138" i="14"/>
  <c r="K139" i="14"/>
  <c r="K140" i="14"/>
  <c r="K142" i="14"/>
  <c r="K143" i="14"/>
  <c r="K144" i="14"/>
  <c r="K145" i="14"/>
  <c r="K160" i="14"/>
  <c r="K162" i="14"/>
  <c r="K163" i="14"/>
  <c r="K164" i="14"/>
  <c r="K165" i="14"/>
  <c r="H170" i="14"/>
  <c r="K113" i="14"/>
  <c r="K114" i="14"/>
  <c r="K115" i="14"/>
  <c r="K116" i="14"/>
  <c r="K117" i="14"/>
  <c r="J120" i="14"/>
  <c r="H127" i="14" s="1"/>
  <c r="K118" i="14"/>
  <c r="K119" i="14"/>
  <c r="K121" i="14"/>
  <c r="K122" i="14"/>
  <c r="K123" i="14"/>
  <c r="K124" i="14"/>
  <c r="K125" i="14"/>
  <c r="I127" i="14"/>
  <c r="I130" i="14" s="1"/>
  <c r="K87" i="14"/>
  <c r="K88" i="14"/>
  <c r="K89" i="14"/>
  <c r="K90" i="14"/>
  <c r="K91" i="14"/>
  <c r="K92" i="14"/>
  <c r="K93" i="14"/>
  <c r="K94" i="14"/>
  <c r="K95" i="14"/>
  <c r="K96" i="14"/>
  <c r="K97" i="14"/>
  <c r="I98" i="14"/>
  <c r="I105" i="14" s="1"/>
  <c r="J98" i="14"/>
  <c r="K99" i="14"/>
  <c r="K100" i="14"/>
  <c r="K101" i="14"/>
  <c r="K102" i="14"/>
  <c r="K103" i="14"/>
  <c r="H105" i="14"/>
  <c r="H108" i="14"/>
  <c r="K65" i="14"/>
  <c r="K66" i="14"/>
  <c r="K67" i="14"/>
  <c r="K68" i="14"/>
  <c r="I69" i="14"/>
  <c r="K70" i="14"/>
  <c r="K72" i="14"/>
  <c r="I73" i="14"/>
  <c r="J73" i="14"/>
  <c r="K74" i="14"/>
  <c r="K75" i="14"/>
  <c r="K76" i="14"/>
  <c r="K77" i="14"/>
  <c r="H79" i="14"/>
  <c r="H82" i="14"/>
  <c r="K83" i="14"/>
  <c r="K45" i="14"/>
  <c r="K46" i="14"/>
  <c r="K47" i="14"/>
  <c r="K48" i="14"/>
  <c r="K49" i="14"/>
  <c r="K50" i="14"/>
  <c r="K52" i="14"/>
  <c r="K53" i="14"/>
  <c r="I54" i="14"/>
  <c r="J54" i="14"/>
  <c r="I56" i="14"/>
  <c r="J56" i="14"/>
  <c r="H59" i="14"/>
  <c r="K20" i="14"/>
  <c r="K21" i="14"/>
  <c r="K22" i="14"/>
  <c r="K23" i="14"/>
  <c r="J24" i="14"/>
  <c r="K24" i="14" s="1"/>
  <c r="K25" i="14"/>
  <c r="K26" i="14"/>
  <c r="K27" i="14"/>
  <c r="K28" i="14"/>
  <c r="K29" i="14"/>
  <c r="K30" i="14"/>
  <c r="K31" i="14"/>
  <c r="K32" i="14"/>
  <c r="K33" i="14"/>
  <c r="H35" i="14"/>
  <c r="I35" i="14"/>
  <c r="I38" i="14" s="1"/>
  <c r="H38" i="14"/>
  <c r="H39" i="14" s="1"/>
  <c r="K3" i="14"/>
  <c r="K4" i="14"/>
  <c r="K5" i="14"/>
  <c r="K6" i="14"/>
  <c r="K7" i="14"/>
  <c r="K8" i="14"/>
  <c r="K9" i="14"/>
  <c r="K10" i="14"/>
  <c r="K11" i="14"/>
  <c r="H12" i="14"/>
  <c r="I12" i="14"/>
  <c r="J12" i="14"/>
  <c r="F149" i="7"/>
  <c r="J72" i="7"/>
  <c r="I72" i="7"/>
  <c r="J24" i="7"/>
  <c r="J19" i="7"/>
  <c r="I19" i="7"/>
  <c r="J119" i="7"/>
  <c r="H118" i="7" s="1"/>
  <c r="E187" i="7"/>
  <c r="E189" i="7" s="1"/>
  <c r="D187" i="7"/>
  <c r="D189" i="7" s="1"/>
  <c r="C169" i="7"/>
  <c r="I55" i="7"/>
  <c r="J129" i="7"/>
  <c r="J132" i="7" s="1"/>
  <c r="I129" i="7"/>
  <c r="I132" i="7" s="1"/>
  <c r="H129" i="7"/>
  <c r="C132" i="7"/>
  <c r="E129" i="7"/>
  <c r="E132" i="7" s="1"/>
  <c r="D129" i="7"/>
  <c r="D132" i="7" s="1"/>
  <c r="D133" i="7" s="1"/>
  <c r="C129" i="7"/>
  <c r="D104" i="7"/>
  <c r="D107" i="7" s="1"/>
  <c r="C104" i="7"/>
  <c r="J55" i="7"/>
  <c r="E55" i="7"/>
  <c r="D55" i="7"/>
  <c r="D58" i="7" s="1"/>
  <c r="C58" i="7"/>
  <c r="C55" i="7"/>
  <c r="C38" i="7"/>
  <c r="C35" i="7"/>
  <c r="E104" i="7"/>
  <c r="C107" i="7"/>
  <c r="F45" i="7"/>
  <c r="C181" i="7"/>
  <c r="K179" i="7"/>
  <c r="K115" i="7"/>
  <c r="K114" i="7"/>
  <c r="C184" i="7"/>
  <c r="D169" i="7"/>
  <c r="C182" i="7"/>
  <c r="K182" i="7"/>
  <c r="C192" i="7"/>
  <c r="K185" i="7"/>
  <c r="F33" i="7"/>
  <c r="F20" i="7"/>
  <c r="F21" i="7"/>
  <c r="F22" i="7"/>
  <c r="F23" i="7"/>
  <c r="F24" i="7"/>
  <c r="F25" i="7"/>
  <c r="F26" i="7"/>
  <c r="F27" i="7"/>
  <c r="F28" i="7"/>
  <c r="F29" i="7"/>
  <c r="F30" i="7"/>
  <c r="F31" i="7"/>
  <c r="F32" i="7"/>
  <c r="K33" i="7"/>
  <c r="K20" i="7"/>
  <c r="K21" i="7"/>
  <c r="K22" i="7"/>
  <c r="K23" i="7"/>
  <c r="K25" i="7"/>
  <c r="K26" i="7"/>
  <c r="K27" i="7"/>
  <c r="K28" i="7"/>
  <c r="K29" i="7"/>
  <c r="K30" i="7"/>
  <c r="K31" i="7"/>
  <c r="K32" i="7"/>
  <c r="F65" i="7"/>
  <c r="F66" i="7"/>
  <c r="F67" i="7"/>
  <c r="F68" i="7"/>
  <c r="F69" i="7"/>
  <c r="F70" i="7"/>
  <c r="F71" i="7"/>
  <c r="F72" i="7"/>
  <c r="F73" i="7"/>
  <c r="F119" i="7"/>
  <c r="F74" i="7"/>
  <c r="F75" i="7"/>
  <c r="F76" i="7"/>
  <c r="F64" i="7"/>
  <c r="K65" i="7"/>
  <c r="K66" i="7"/>
  <c r="K67" i="7"/>
  <c r="K69" i="7"/>
  <c r="K71" i="7"/>
  <c r="K73" i="7"/>
  <c r="K119" i="7"/>
  <c r="K74" i="7"/>
  <c r="K75" i="7"/>
  <c r="K64" i="7"/>
  <c r="K76" i="7"/>
  <c r="K102" i="7"/>
  <c r="F102" i="7"/>
  <c r="F87" i="7"/>
  <c r="F88" i="7"/>
  <c r="F89" i="7"/>
  <c r="F90" i="7"/>
  <c r="F91" i="7"/>
  <c r="F92" i="7"/>
  <c r="F93" i="7"/>
  <c r="F94" i="7"/>
  <c r="F95" i="7"/>
  <c r="F96" i="7"/>
  <c r="F97" i="7"/>
  <c r="F98" i="7"/>
  <c r="F99" i="7"/>
  <c r="F100" i="7"/>
  <c r="F101" i="7"/>
  <c r="F86" i="7"/>
  <c r="K87" i="7"/>
  <c r="K88" i="7"/>
  <c r="K89" i="7"/>
  <c r="K90" i="7"/>
  <c r="K91" i="7"/>
  <c r="K92" i="7"/>
  <c r="K93" i="7"/>
  <c r="K94" i="7"/>
  <c r="K95" i="7"/>
  <c r="K96" i="7"/>
  <c r="K98" i="7"/>
  <c r="K99" i="7"/>
  <c r="K100" i="7"/>
  <c r="K101" i="7"/>
  <c r="K86" i="7"/>
  <c r="K127" i="7"/>
  <c r="K113" i="7"/>
  <c r="K116" i="7"/>
  <c r="K117" i="7"/>
  <c r="K118" i="7"/>
  <c r="K120" i="7"/>
  <c r="K121" i="7"/>
  <c r="K122" i="7"/>
  <c r="K123" i="7"/>
  <c r="K124" i="7"/>
  <c r="K125" i="7"/>
  <c r="K126" i="7"/>
  <c r="K112" i="7"/>
  <c r="J53" i="7"/>
  <c r="I53" i="7"/>
  <c r="F46" i="7"/>
  <c r="F47" i="7"/>
  <c r="F48" i="7"/>
  <c r="F49" i="7"/>
  <c r="F50" i="7"/>
  <c r="F51" i="7"/>
  <c r="F52" i="7"/>
  <c r="F44" i="7"/>
  <c r="F53" i="7"/>
  <c r="K45" i="7"/>
  <c r="K46" i="7"/>
  <c r="K47" i="7"/>
  <c r="K48" i="7"/>
  <c r="K49" i="7"/>
  <c r="K50" i="7"/>
  <c r="K51" i="7"/>
  <c r="K52" i="7"/>
  <c r="K44" i="7"/>
  <c r="F11" i="7"/>
  <c r="K11" i="7"/>
  <c r="F4" i="7"/>
  <c r="F5" i="7"/>
  <c r="F6" i="7"/>
  <c r="F7" i="7"/>
  <c r="F8" i="7"/>
  <c r="F9" i="7"/>
  <c r="F10" i="7"/>
  <c r="F3" i="7"/>
  <c r="K4" i="7"/>
  <c r="K5" i="7"/>
  <c r="K6" i="7"/>
  <c r="K7" i="7"/>
  <c r="K8" i="7"/>
  <c r="K9" i="7"/>
  <c r="K10" i="7"/>
  <c r="K3" i="7"/>
  <c r="K167" i="7"/>
  <c r="F138" i="7"/>
  <c r="F139" i="7"/>
  <c r="F140" i="7"/>
  <c r="F141" i="7"/>
  <c r="F142" i="7"/>
  <c r="F143" i="7"/>
  <c r="F144" i="7"/>
  <c r="F145" i="7"/>
  <c r="F146" i="7"/>
  <c r="F147" i="7"/>
  <c r="F148" i="7"/>
  <c r="F150" i="7"/>
  <c r="F151" i="7"/>
  <c r="F152" i="7"/>
  <c r="F153" i="7"/>
  <c r="F154" i="7"/>
  <c r="F155" i="7"/>
  <c r="F156" i="7"/>
  <c r="F157" i="7"/>
  <c r="F158" i="7"/>
  <c r="F159" i="7"/>
  <c r="F160" i="7"/>
  <c r="F161" i="7"/>
  <c r="F162" i="7"/>
  <c r="F163" i="7"/>
  <c r="F164" i="7"/>
  <c r="F165" i="7"/>
  <c r="F166" i="7"/>
  <c r="F167" i="7"/>
  <c r="F168" i="7"/>
  <c r="F170" i="7"/>
  <c r="F171" i="7"/>
  <c r="F137" i="7"/>
  <c r="K139" i="7"/>
  <c r="K140" i="7"/>
  <c r="K141" i="7"/>
  <c r="K142" i="7"/>
  <c r="K143" i="7"/>
  <c r="K144" i="7"/>
  <c r="K145" i="7"/>
  <c r="K146" i="7"/>
  <c r="K147" i="7"/>
  <c r="K148" i="7"/>
  <c r="K150" i="7"/>
  <c r="K151" i="7"/>
  <c r="K152" i="7"/>
  <c r="K153" i="7"/>
  <c r="K154" i="7"/>
  <c r="K155" i="7"/>
  <c r="K156" i="7"/>
  <c r="K157" i="7"/>
  <c r="K158" i="7"/>
  <c r="K159" i="7"/>
  <c r="K160" i="7"/>
  <c r="K161" i="7"/>
  <c r="K162" i="7"/>
  <c r="K163" i="7"/>
  <c r="K164" i="7"/>
  <c r="K165" i="7"/>
  <c r="K166" i="7"/>
  <c r="K138" i="7"/>
  <c r="K137" i="7"/>
  <c r="C81" i="7"/>
  <c r="H58" i="7"/>
  <c r="H38" i="7"/>
  <c r="K82" i="7"/>
  <c r="F82" i="7"/>
  <c r="J70" i="7"/>
  <c r="K70" i="7" s="1"/>
  <c r="K24" i="7"/>
  <c r="I68" i="7"/>
  <c r="J68" i="7"/>
  <c r="J169" i="7"/>
  <c r="E169" i="7"/>
  <c r="H172" i="7"/>
  <c r="I169" i="7"/>
  <c r="J97" i="7"/>
  <c r="J104" i="7" s="1"/>
  <c r="I97" i="7"/>
  <c r="I104" i="7" s="1"/>
  <c r="I107" i="7" s="1"/>
  <c r="I35" i="7"/>
  <c r="I38" i="7" s="1"/>
  <c r="I39" i="7" s="1"/>
  <c r="D6" i="12"/>
  <c r="D8" i="12" s="1"/>
  <c r="D10" i="12"/>
  <c r="D11" i="12"/>
  <c r="D12" i="12"/>
  <c r="C12" i="12"/>
  <c r="C11" i="12"/>
  <c r="C10" i="12"/>
  <c r="C6" i="12"/>
  <c r="C9" i="12" s="1"/>
  <c r="I12" i="7"/>
  <c r="H169" i="7"/>
  <c r="H132" i="7"/>
  <c r="H107" i="7"/>
  <c r="H104" i="7"/>
  <c r="H81" i="7"/>
  <c r="H78" i="7"/>
  <c r="H35" i="7"/>
  <c r="J12" i="7"/>
  <c r="H12" i="7"/>
  <c r="H177" i="7" s="1"/>
  <c r="E19" i="7"/>
  <c r="E35" i="7" s="1"/>
  <c r="D19" i="7"/>
  <c r="D35" i="7" s="1"/>
  <c r="D38" i="7" s="1"/>
  <c r="I108" i="14" l="1"/>
  <c r="I109" i="14" s="1"/>
  <c r="H171" i="14"/>
  <c r="K56" i="14"/>
  <c r="K12" i="14"/>
  <c r="F19" i="14"/>
  <c r="K98" i="14"/>
  <c r="K69" i="14"/>
  <c r="D7" i="12"/>
  <c r="J59" i="14"/>
  <c r="K19" i="14"/>
  <c r="K73" i="14"/>
  <c r="K54" i="14"/>
  <c r="J127" i="14"/>
  <c r="J130" i="14" s="1"/>
  <c r="I79" i="14"/>
  <c r="I59" i="14"/>
  <c r="I131" i="14"/>
  <c r="J167" i="14"/>
  <c r="J170" i="14" s="1"/>
  <c r="J105" i="14"/>
  <c r="J108" i="14" s="1"/>
  <c r="I167" i="14"/>
  <c r="K120" i="14"/>
  <c r="J79" i="14"/>
  <c r="J82" i="14" s="1"/>
  <c r="J35" i="14"/>
  <c r="K71" i="14"/>
  <c r="I108" i="7"/>
  <c r="I78" i="7"/>
  <c r="I133" i="7"/>
  <c r="E133" i="7"/>
  <c r="J35" i="7"/>
  <c r="J38" i="7" s="1"/>
  <c r="J107" i="7"/>
  <c r="J108" i="7" s="1"/>
  <c r="E38" i="7"/>
  <c r="D39" i="7"/>
  <c r="C185" i="7"/>
  <c r="C190" i="7" s="1"/>
  <c r="D190" i="7" s="1"/>
  <c r="E190" i="7" s="1"/>
  <c r="K68" i="7"/>
  <c r="H187" i="7"/>
  <c r="F19" i="7"/>
  <c r="K72" i="7"/>
  <c r="K19" i="7"/>
  <c r="J58" i="7"/>
  <c r="K169" i="7"/>
  <c r="K53" i="7"/>
  <c r="I172" i="7"/>
  <c r="F169" i="7"/>
  <c r="I58" i="7"/>
  <c r="K97" i="7"/>
  <c r="I81" i="7"/>
  <c r="J78" i="7"/>
  <c r="J81" i="7" s="1"/>
  <c r="C8" i="12"/>
  <c r="C7" i="12"/>
  <c r="D9" i="12"/>
  <c r="E107" i="7"/>
  <c r="F131" i="7"/>
  <c r="D108" i="7"/>
  <c r="K59" i="14" l="1"/>
  <c r="K105" i="14"/>
  <c r="I82" i="14"/>
  <c r="K82" i="14" s="1"/>
  <c r="K79" i="14"/>
  <c r="J131" i="14"/>
  <c r="J109" i="14"/>
  <c r="I170" i="14"/>
  <c r="K167" i="14"/>
  <c r="J38" i="14"/>
  <c r="K35" i="14"/>
  <c r="F185" i="7"/>
  <c r="C189" i="7"/>
  <c r="J172" i="7"/>
  <c r="I187" i="7"/>
  <c r="K35" i="7"/>
  <c r="C173" i="7"/>
  <c r="C172" i="7" s="1"/>
  <c r="D12" i="7"/>
  <c r="E12" i="7"/>
  <c r="C12" i="7"/>
  <c r="I171" i="14" l="1"/>
  <c r="J171" i="14" s="1"/>
  <c r="K170" i="14"/>
  <c r="D172" i="7"/>
  <c r="J187" i="7"/>
  <c r="F187" i="7"/>
  <c r="E78" i="7"/>
  <c r="E81" i="7" s="1"/>
  <c r="D78" i="7"/>
  <c r="D81" i="7" s="1"/>
  <c r="C78" i="7"/>
  <c r="E58" i="7"/>
  <c r="K187" i="7" l="1"/>
  <c r="E17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tc={09DEACD5-BEF5-4404-B2AE-88130CB5E2F8}</author>
    <author>tc={68AF9C10-8EA2-479A-AB12-4B8EBB626BCC}</author>
    <author>tc={A341523C-42C2-414F-8CCC-B84FF8411E7F}</author>
    <author>tc={8559E8EA-7516-439E-B201-F3AA7AB60A98}</author>
  </authors>
  <commentList>
    <comment ref="I112" authorId="0" shapeId="0" xr:uid="{09DEACD5-BEF5-4404-B2AE-88130CB5E2F8}">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@Shimmin, Jessica (CON) after updating col h you will needs to adjust I:J </t>
      </text>
    </comment>
    <comment ref="H130" authorId="1" shapeId="0" xr:uid="{68AF9C10-8EA2-479A-AB12-4B8EBB626BCC}">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@Shimmin, Jessica (CON)  this needs to match col C</t>
      </text>
    </comment>
    <comment ref="C165" authorId="2" shapeId="0" xr:uid="{A341523C-42C2-414F-8CCC-B84FF8411E7F}">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65" authorId="3" shapeId="0" xr:uid="{8559E8EA-7516-439E-B201-F3AA7AB60A98}">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tc={EB81919B-C1AF-41CE-9BDD-672B7E11D6DF}</author>
    <author>tc={D4D7E6BB-6B1B-44BB-ACA8-46E1B725E260}</author>
    <author>tc={0274CC38-4FBB-4E24-85CF-4931EDB50823}</author>
    <author>tc={25157C22-7397-40D3-8229-D7510BE108C4}</author>
    <author>tc={F0F9E01D-472B-4165-80D8-6F2E96B981B7}</author>
    <author>tc={7C3FF134-1384-4BDD-9309-64E8B085D0E3}</author>
    <author>tc={441D12CD-AF42-4D51-A020-A004E705C6F6}</author>
    <author>tc={AD60E46F-4515-47B7-9AA1-002B15BBF124}</author>
  </authors>
  <commentList>
    <comment ref="C167" authorId="0" shapeId="0" xr:uid="{EB81919B-C1AF-41CE-9BDD-672B7E11D6DF}">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67" authorId="1" shapeId="0" xr:uid="{D4D7E6BB-6B1B-44BB-ACA8-46E1B725E260}">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C179" authorId="2" shapeId="0" xr:uid="{0274CC38-4FBB-4E24-85CF-4931EDB50823}">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79" authorId="3" shapeId="0" xr:uid="{25157C22-7397-40D3-8229-D7510BE108C4}">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B182" authorId="4" shapeId="0" xr:uid="{F0F9E01D-472B-4165-80D8-6F2E96B981B7}">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@Louie, Jenny (DPH) What are these 
projected available sources? </t>
      </text>
    </comment>
    <comment ref="C182" authorId="5" shapeId="0" xr:uid="{7C3FF134-1384-4BDD-9309-64E8B085D0E3}">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82" authorId="6" shapeId="0" xr:uid="{441D12CD-AF42-4D51-A020-A004E705C6F6}">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 ref="H185" authorId="7" shapeId="0" xr:uid="{AD60E46F-4515-47B7-9AA1-002B15BBF124}">
      <text>
        <t>[Threaded comment]
Your version of Excel allows you to read this threaded comment; however, any edits to it will get removed if the file is opened in a newer version of Excel. Learn more: https://go.microsoft.com/fwlink/?linkid=870924
Comment:
    from the 6 month report</t>
      </text>
    </comment>
  </commentList>
</comments>
</file>

<file path=xl/sharedStrings.xml><?xml version="1.0" encoding="utf-8"?>
<sst xmlns="http://schemas.openxmlformats.org/spreadsheetml/2006/main" count="1140" uniqueCount="447">
  <si>
    <t>Administrative Allocation</t>
  </si>
  <si>
    <t>Department Proposals</t>
  </si>
  <si>
    <t>Committee Recommendations</t>
  </si>
  <si>
    <t>OCOH Category</t>
  </si>
  <si>
    <t>OCOH Program</t>
  </si>
  <si>
    <t>FY22 Revised Budget (millions)</t>
  </si>
  <si>
    <t>FY23 Proposed (millions)</t>
  </si>
  <si>
    <t>FY24 Proposed (millions)</t>
  </si>
  <si>
    <t>Total 2 year budget (FY23 &amp; FY24) (milions)</t>
  </si>
  <si>
    <t>City Proposals</t>
  </si>
  <si>
    <t>Committee Notes &amp; Recommendations</t>
  </si>
  <si>
    <t>Department Notes</t>
  </si>
  <si>
    <t>Treasurer and Tax Collector</t>
  </si>
  <si>
    <t>City Attorney's Office</t>
  </si>
  <si>
    <t>Controller's Office</t>
  </si>
  <si>
    <t>Community Researcher Program</t>
  </si>
  <si>
    <t>Recommend adding $1m annually for Community Research Program component of Needs Assessment.</t>
  </si>
  <si>
    <t>Contracted Services: Needs Assessment</t>
  </si>
  <si>
    <t>Contracted Services: Stakeholder Engagement</t>
  </si>
  <si>
    <t>Contracted Services: As needed</t>
  </si>
  <si>
    <t>Contracted Services: Interpretation and Web</t>
  </si>
  <si>
    <t>Administrative Allocation Balance (revised or projected)</t>
  </si>
  <si>
    <t>Administrative Allocation Spending (Budgeted)</t>
  </si>
  <si>
    <t>Administrative Allocation Projected Year End Spending</t>
  </si>
  <si>
    <t>Administrative Allocation Estimated Year End Balance</t>
  </si>
  <si>
    <t>Remaining OCOH Fund</t>
  </si>
  <si>
    <t>ADULTS/ALL POPULATIONS HOUSING</t>
  </si>
  <si>
    <t>Committee Recommendations Notes</t>
  </si>
  <si>
    <t>Operating PSH</t>
  </si>
  <si>
    <t>Adult Housing Operating</t>
  </si>
  <si>
    <t xml:space="preserve">Maintains FY22 operating levels at at average of $1650 per unit per month ($1100 for operating &amp; $550 for services). Partially funds 791 new PSH units in FY22-23 leveraging Homekey round 1 &amp; 2 operating funds in FY23; Fully funds 1,024 PSH unts in FY23-24 once Homekey funds exhausted and includes 234 units of started with Prop C advance funds. Maintain effort and add operations. </t>
  </si>
  <si>
    <t>Recommend  adding $.2m each year to ensure $28/hr as base rate for case managers.</t>
  </si>
  <si>
    <t>PSH Equity Services</t>
  </si>
  <si>
    <t>New proposal. Targets the City's PSH buildings with the highest case manager to client caseloads to achieve closer to a 1:25 case manager-to-client ratio systemwide. Total cost is $12 million annually to address 1:25 case mangement ratio in the adult PSH system. HSH has a separate budget proposal (not OCOH-funded) to increase case manager wages to a floor of $28/hour (this cost in not included in this proposal)</t>
  </si>
  <si>
    <t>Recommend that Mayor, Board, and HSH find another source for this urgently needed enhancement.</t>
  </si>
  <si>
    <t>Ongoing Subsidies &amp; Supports</t>
  </si>
  <si>
    <t>Adult Flex Pool PSH</t>
  </si>
  <si>
    <t>Recommend</t>
  </si>
  <si>
    <t>Adult Flex Pool PSH- Bayview</t>
  </si>
  <si>
    <t xml:space="preserve">Reassessing subsidy level to match market. Includes 200 TPC slots, Mainsteam vouchers in FY24.  </t>
  </si>
  <si>
    <t>Adult Flex Pool PSH- Senior/COVID vulnerable</t>
  </si>
  <si>
    <t xml:space="preserve">Reassessing subsidy level to match market. </t>
  </si>
  <si>
    <t>Adult Flex Pool PSH - cis and trans women</t>
  </si>
  <si>
    <t>Add 60 flex pool subsidies in FY23, ongoing. Reduced from 120 to 60.</t>
  </si>
  <si>
    <t>4.30.22: Committee's recommendation is inadequate to fund 60 additional slots. This amount would fund 57 slots each year.</t>
  </si>
  <si>
    <t>EHV Vouchers</t>
  </si>
  <si>
    <t xml:space="preserve">HSH adjusted it FY22 flex pool goal to serve additional units with federal emergency housing vouchers (EHVs). This funding continues that intervention level at a reduce amount over time as households stabilize. </t>
  </si>
  <si>
    <t>4.30.22: HSH provided table showing EHV investment to Committee staff and housing liasion on 4.28.22. Increased total slots from original FHSP target of 1,075 to 1,363</t>
  </si>
  <si>
    <t>Medium Term Subsidies</t>
  </si>
  <si>
    <t>Adult Medium Term Subsidies</t>
  </si>
  <si>
    <t xml:space="preserve">Reassessing Rapid Re-Housing subsidy level to match market. Recommend </t>
  </si>
  <si>
    <t>Adult Medium Term Subsidies - Workforce</t>
  </si>
  <si>
    <t>HSH proposes continuing pilot using FY22 funding.</t>
  </si>
  <si>
    <t>Acquisition PSH</t>
  </si>
  <si>
    <t>Adult Housing Acquisition</t>
  </si>
  <si>
    <t xml:space="preserve"> HSH proposal to restore funding for 2020 HomeKey acquisition; Department has not been able to find another source. Recommend</t>
  </si>
  <si>
    <t xml:space="preserve">74.6 is FY21 and FY22; FY23 increase of $0.7 m to complete purchase of Ellis Street site. </t>
  </si>
  <si>
    <t>Operating</t>
  </si>
  <si>
    <t>FY22 only; not ongoing</t>
  </si>
  <si>
    <t>Frontline Worker Bonus Pay</t>
  </si>
  <si>
    <t>HSH Allocated Costs</t>
  </si>
  <si>
    <t xml:space="preserve">This year (and going forward) HSH will pull out their implementation, operation, and data costs for greater transparency. </t>
  </si>
  <si>
    <t>Adult Housing Sources</t>
  </si>
  <si>
    <t>Rebalanced as a result of the increase in the Administrative Allocation</t>
  </si>
  <si>
    <t>Adult Housing Revenue Shortfall</t>
  </si>
  <si>
    <t xml:space="preserve">Adult Housing Subtotal Uses </t>
  </si>
  <si>
    <t>Adult Housing Projected Year End Spending</t>
  </si>
  <si>
    <t>updated, final year-end savings TBD</t>
  </si>
  <si>
    <t>Adult Housing Proposed Reserve</t>
  </si>
  <si>
    <t xml:space="preserve">proposed 10% for reserve </t>
  </si>
  <si>
    <t>Adult Housing Annual Sources vs Uses</t>
  </si>
  <si>
    <t>Adult Housing Remaining One-Time Fund Balance</t>
  </si>
  <si>
    <t xml:space="preserve">available to fund up to 20% reserve </t>
  </si>
  <si>
    <t>Adult Housing Estimated Acquisitions Balance</t>
  </si>
  <si>
    <t>YOUTH HOUSING</t>
  </si>
  <si>
    <t>TAY Housing Acquisition</t>
  </si>
  <si>
    <t>FY22 acquisition funds. Unspent funds carry forward.</t>
  </si>
  <si>
    <t>One site will be acquired to house transgender TAY.</t>
  </si>
  <si>
    <t xml:space="preserve">New. Brings services in all TAY buildings systemwide up to 1:25 case management ratio. </t>
  </si>
  <si>
    <t>TAY Housing Operating</t>
  </si>
  <si>
    <t xml:space="preserve"> Starting FY23 includes increases to $892 per unit, per month for PSH TAY services; $1100 operating for 225 units to acquire to achieve 1:20 case management ratio; (147 units in pipeline); in FY23-24 added 85 units at the Artmar previously funded with Prop C advance funds.</t>
  </si>
  <si>
    <t>TAY EHV</t>
  </si>
  <si>
    <t>Emergency Housing Vouchers provide operating subsidy, flex pool provides support services. Increases the total number of housing slots for TAY from 70 to 115.</t>
  </si>
  <si>
    <t>TAY Housing Flex Pool PSH</t>
  </si>
  <si>
    <t xml:space="preserve">Increased subsidy level for TAY to align with FMR rates and population service levels. </t>
  </si>
  <si>
    <t xml:space="preserve">Recommend; Encourage shared housing model in implementation of these funds. </t>
  </si>
  <si>
    <t>TAY Rapid Rehousing Expansion</t>
  </si>
  <si>
    <t xml:space="preserve">Increased subsidy level to align to FMR rates and rental market. </t>
  </si>
  <si>
    <t>FY21 program, not included in this budget.</t>
  </si>
  <si>
    <t xml:space="preserve">Implementation, operation, and data costs pulled out for greater transparency. </t>
  </si>
  <si>
    <t>TAY Bridge Housing</t>
  </si>
  <si>
    <t>TAY Housing Sources</t>
  </si>
  <si>
    <t>TAY Housing Revenue Shortfall</t>
  </si>
  <si>
    <t xml:space="preserve">TAY Housing Subtotal Uses </t>
  </si>
  <si>
    <t>TAY Housing Projected Year End Spending</t>
  </si>
  <si>
    <t>TAY Housing Proposed Reserve</t>
  </si>
  <si>
    <t xml:space="preserve">proposed 10% to seed reserve </t>
  </si>
  <si>
    <t>TAY Housing Annual Sources vs Uses</t>
  </si>
  <si>
    <t>TAY Housing Estimated Acquisitions Balance</t>
  </si>
  <si>
    <t>FAMILY HOUSING</t>
  </si>
  <si>
    <t>Family Housing Acquisition</t>
  </si>
  <si>
    <t xml:space="preserve">Funds 240 new family units (family units at the Panoramic &amp; City Gardens), leveraging state Homekey dollars. </t>
  </si>
  <si>
    <t>PSH Development</t>
  </si>
  <si>
    <t>New. 1 development project with MOHCD, potential 50% homeless; 40 units in 80 unit building.</t>
  </si>
  <si>
    <t>Family Housing Operating</t>
  </si>
  <si>
    <t>assumes a City subsidy of up to $2175 pupm: $1100 operating and $1075 servicest to achieve 1:20 case mgt ratio in family system.</t>
  </si>
  <si>
    <t xml:space="preserve">New. Brings services in all PSH family buildings systemwide to the  1:20 case management ratio. </t>
  </si>
  <si>
    <t>Liaison Reggio recommends that Mayor, Board, and HSH find another source for this urgently needed enhancement.</t>
  </si>
  <si>
    <t>Family Housing Flex Pool PSH</t>
  </si>
  <si>
    <t xml:space="preserve">HSH proposes to increase subsidy level to average FMR rates for 2-3 bedroom units. </t>
  </si>
  <si>
    <t>Recommend.</t>
  </si>
  <si>
    <t>Family EHV</t>
  </si>
  <si>
    <t>EHV continuation.</t>
  </si>
  <si>
    <t>How many families does this impact?</t>
  </si>
  <si>
    <t>4.30.22: HSH provided response to question on EHV to committee staff and housing liasion on 4.28.22; Total families served through Flex Pool/EHV: 306</t>
  </si>
  <si>
    <t>Family Housing Flex Pool - Doubled Up Families</t>
  </si>
  <si>
    <t>Vice Chair D'Antonio: Recommendation to add 30 subsidies for doubled up families, asylum seekers and undocumented at $1.82 in FY23 and ongoing; and to add 30 more subsidies for doubled up families at $1.82 in FY24 and ongoing. Permanent deep subsidy, housing stability and retention support services titrate down over time. Not the same population as MOHCD's SRO Families</t>
  </si>
  <si>
    <t>Family Housing SRO Subsidies</t>
  </si>
  <si>
    <t>Member Friedenbach: 100 flex pool vouchers for SRO families. (This would be the MOHCD service/cost model.)</t>
  </si>
  <si>
    <t xml:space="preserve"> 4.30.22: Committee proposal would fund 34 slots of family flex pool. Annual cost per slot for family flex pool is $57,608 of City subsidy. </t>
  </si>
  <si>
    <t>Maintaining subsidies for 100 subsidies for SRO families.</t>
  </si>
  <si>
    <t>Family Housing Ladder</t>
  </si>
  <si>
    <t xml:space="preserve">Allocates 70 slots and increases subsidy to align with FMR for 2-3 bedrooms. </t>
  </si>
  <si>
    <t>Rental Assistance</t>
  </si>
  <si>
    <t>Family Rapid Re-Housing Extensions</t>
  </si>
  <si>
    <t>Member Catalano: Recommendation to add RRH Extensions for 100 families for 24 months at a cost of 1.38m annually</t>
  </si>
  <si>
    <t>4.30.22: Committee proposal would fund 24 slots of RRH family extensions for two years, not 100 slots.</t>
  </si>
  <si>
    <t>FY21 appropriation, not included in this budget</t>
  </si>
  <si>
    <t>FY20-21 appropriations approved in Board release of reserve, Dec.2020</t>
  </si>
  <si>
    <t>This year (and going forward) HSH will pull out their implementation, operation, and data costs for greater transparency.</t>
  </si>
  <si>
    <t>Family Housing Sources</t>
  </si>
  <si>
    <t>Family Housing Revenue Shortfall</t>
  </si>
  <si>
    <t>Family Housing Subtotal Uses</t>
  </si>
  <si>
    <t>Family Housing Projected Year End Spending</t>
  </si>
  <si>
    <t>Family Housing Proposed Reserve</t>
  </si>
  <si>
    <t>proposed 10% for reserve</t>
  </si>
  <si>
    <t>Family Housing Sources v Uses (est operating balance)</t>
  </si>
  <si>
    <t>Family Housing Estimated Acquisitions Balance</t>
  </si>
  <si>
    <t>SHELTER &amp; HYGIENE SERVICES</t>
  </si>
  <si>
    <t>Hotel Vouchers</t>
  </si>
  <si>
    <t>Hotel Voucher - Domestic Violence</t>
  </si>
  <si>
    <t>HSH proposes to carry forward FY22 budget for implementation in FY 23. HSH proposes funding hotel vouchers for DV and pregnant people ongoing (was a one-time).</t>
  </si>
  <si>
    <t>Add $.6 in FY23, make 20 hotel rooms available</t>
  </si>
  <si>
    <t>Hotel Voucher - Pregnant and Family</t>
  </si>
  <si>
    <t>Hotel Voucher - TAY</t>
  </si>
  <si>
    <t xml:space="preserve">Work ordered to MOHCD's existing program; HSH proposes funding this program ongoing (was a one-time addback) </t>
  </si>
  <si>
    <t xml:space="preserve">Recommend </t>
  </si>
  <si>
    <t>Shelter Beds</t>
  </si>
  <si>
    <t>COVID-19 Shelter Programs: RV Trailer</t>
  </si>
  <si>
    <t>No proposed funding for COVID emergency response</t>
  </si>
  <si>
    <t>COVID-19 Shelter Programs: Safe Sleep</t>
  </si>
  <si>
    <t>COVID-19 Shelter Programs; SIP Hotels</t>
  </si>
  <si>
    <t xml:space="preserve">Demobilizing SIP hotels by September. Many moving into permanent housing. Residents without PH  relocated to shelter. </t>
  </si>
  <si>
    <t>Family Shelter Operations</t>
  </si>
  <si>
    <t xml:space="preserve">Ongoing funding for Oasis non-congregate family shelter. </t>
  </si>
  <si>
    <t>Safe Parking Programs</t>
  </si>
  <si>
    <t>HSH received $5.6 million from state for capital costs in FY22 used to balance CY shortfall. FY23 ongoing budgeted level assumes expansion to 130 spaces, including case management services and meals</t>
  </si>
  <si>
    <t>Safe Sleep Programs</t>
  </si>
  <si>
    <t>includes 3 safe sleep sites: Mission, Bayview, and 33 Gough through fiscal year.</t>
  </si>
  <si>
    <t>Trailer Programs</t>
  </si>
  <si>
    <t xml:space="preserve">HSH proposes to continue this program. </t>
  </si>
  <si>
    <t>Adult/Tay Navigation Center Operations</t>
  </si>
  <si>
    <t xml:space="preserve">Ongoing costs of Nav Centers. </t>
  </si>
  <si>
    <t>Reduce nav center operations by $1.2m in FY23 to increase budget for hotel vouchers.</t>
  </si>
  <si>
    <t>Shelter Services</t>
  </si>
  <si>
    <t>Investing in case management ratios to ensure residents have support to transition from shelter to PH</t>
  </si>
  <si>
    <t>Does this need to remain in the spreadsheet?</t>
  </si>
  <si>
    <t>Case Management - Justice Involved Adults</t>
  </si>
  <si>
    <t>FY21 appropriations, no proposed funding in FY23 and FY24 budgets.</t>
  </si>
  <si>
    <t>Emergency Sheler &amp; Housing Sources</t>
  </si>
  <si>
    <t>Emergency Shelter &amp; Hygiene Revenue Shortfall</t>
  </si>
  <si>
    <t>Emergency Shelter &amp; Hygiene Uses</t>
  </si>
  <si>
    <t>Emergency Shelter &amp; Hygiene Projected Year End Spending</t>
  </si>
  <si>
    <t>Emergency Shelter &amp; Hygiene Proposed Reserve</t>
  </si>
  <si>
    <t>Emergency Shelter &amp; Hygiene Sources v Uses</t>
  </si>
  <si>
    <t xml:space="preserve">HSH proposes to use any one time savings to manage FY23 shortfall. </t>
  </si>
  <si>
    <t>Emergency Shelter &amp; Hygiene Remaining One-Time Balance</t>
  </si>
  <si>
    <t>HOMELESSNESS PREVENTION AND DIVERSION SERVICES</t>
  </si>
  <si>
    <t>Committee Proposals</t>
  </si>
  <si>
    <t>Targeted Homelessness Prevention Services</t>
  </si>
  <si>
    <t>Eviction Prevention &amp; Housing Stabilization</t>
  </si>
  <si>
    <t xml:space="preserve">This line includes housing advoacy and tenant right to counsel through MOHCD. Interesting upcoming uses include $300k ongoing to develop anit-displacement work with a Black-led, Black serving organization. RFP is in development. </t>
  </si>
  <si>
    <t xml:space="preserve">Recommend. </t>
  </si>
  <si>
    <t>Homelessness Prevention Financial Assistance &amp; Services</t>
  </si>
  <si>
    <t>Increases funding to meet the need. Note: SSI advocacy is being funded through other sources, including the Human Services Agency (HSA)</t>
  </si>
  <si>
    <t xml:space="preserve"> Public Benefits Advocacy</t>
  </si>
  <si>
    <t>Problem Solving</t>
  </si>
  <si>
    <t>Problem Solving - General</t>
  </si>
  <si>
    <t xml:space="preserve"> -   </t>
  </si>
  <si>
    <t>HSH proposes to allocating problem solving funds over three fiscal years to pilot new interevention and is not proposing additional funding in FY23 and FY 24. This will require additional funding in FY25 to maintain.</t>
  </si>
  <si>
    <t>Problem Solving - Adults, Veterans and Justice Involved Adults</t>
  </si>
  <si>
    <t>Problem Solving - Families</t>
  </si>
  <si>
    <t>Problem Solving - TAY</t>
  </si>
  <si>
    <t>Shallow Subsidies for PSH Residents</t>
  </si>
  <si>
    <t xml:space="preserve">Increase to cover entire HSH portfolio. Included in Prevention cateegory because it increases housing stability.  </t>
  </si>
  <si>
    <t>Clinical Services - PSH</t>
  </si>
  <si>
    <t>Behavioral &amp; Clinical Health Services - PSH</t>
  </si>
  <si>
    <t xml:space="preserve">DPH, decreasing amount reflects shift from prevention to an ongoing mental health services. Final balancing still in draft form. </t>
  </si>
  <si>
    <t>FY21 appropriation, not ongoing.</t>
  </si>
  <si>
    <t xml:space="preserve">Implementation, operation, and data costs pulled out  for greater transparency. </t>
  </si>
  <si>
    <t>Prevention &amp; Diversion Sources</t>
  </si>
  <si>
    <t>Prevention &amp; Diversion Revenue Shortfall</t>
  </si>
  <si>
    <t>Prevention &amp; Diversion Uses</t>
  </si>
  <si>
    <t xml:space="preserve">Prevention &amp; Diversion Projected Year End Spending </t>
  </si>
  <si>
    <t>Prevention &amp; Diversion Proposed Reserve</t>
  </si>
  <si>
    <t>10% of Possible funding of reserve. Do not want to scale back programs.</t>
  </si>
  <si>
    <t>Prevention &amp; Diversion Annual Source v Uses</t>
  </si>
  <si>
    <t>Proposing to use savings to maintain the investment plan without service impacts.</t>
  </si>
  <si>
    <t>Prevention &amp; Diversion Remaining Fund Balance</t>
  </si>
  <si>
    <t>MENTAL HEALTH SERIVCES</t>
  </si>
  <si>
    <t>Committee Recommendations &amp; Notes</t>
  </si>
  <si>
    <t>Staff Questions/Department Notes</t>
  </si>
  <si>
    <t>Assertive Outreach Services</t>
  </si>
  <si>
    <t>Overdose Prevention Services</t>
  </si>
  <si>
    <t xml:space="preserve">Supporting low-barrier treatment methods, expansion and use of naloxone, overdose prevention education, as well as the $1M/year for harm reduction therapy services.  </t>
  </si>
  <si>
    <t>Street Overdose Response Team</t>
  </si>
  <si>
    <t xml:space="preserve">3 post overdose engagement teams (POEt), increased funding reflects higher CBO service cost </t>
  </si>
  <si>
    <t>Street Crisis Response Outreach Teams</t>
  </si>
  <si>
    <t xml:space="preserve">Continues budget for 7 SCRT </t>
  </si>
  <si>
    <t>Street Medicine Behavioral Health Expansion</t>
  </si>
  <si>
    <t>Case Management Services</t>
  </si>
  <si>
    <t>Behavioral Health Services provided via CBO contract following community input. This increase represents a shift in costs from the Prevention Category to ongoing mental health service, due turnover in units. DPH will still maintain $8 M of services within PSH overall.</t>
  </si>
  <si>
    <t>Care Coordination and Case Management</t>
  </si>
  <si>
    <t xml:space="preserve">Maintain proposed services. </t>
  </si>
  <si>
    <t xml:space="preserve">TAY Care Coordination </t>
  </si>
  <si>
    <t xml:space="preserve">Maintain proposed services for TAY. </t>
  </si>
  <si>
    <t>Drop-In Services</t>
  </si>
  <si>
    <t>Mental Health Service Center</t>
  </si>
  <si>
    <t xml:space="preserve">Staffing for current Behavioral Health Access Center complete. </t>
  </si>
  <si>
    <t>TAY Mental Health Services</t>
  </si>
  <si>
    <t xml:space="preserve">Three FTE will be added at Dimensions Clinic to support TAY and Transgender populations. Remaining funding to be contracted RFP'ed pending stakeholder feedback. </t>
  </si>
  <si>
    <t>Trangender Mental Health Services</t>
  </si>
  <si>
    <t>Behavioral &amp; Clinical Health Services</t>
  </si>
  <si>
    <t xml:space="preserve">Maintains funding level for enhanced behavioral health services in shelters and drop-in centers. </t>
  </si>
  <si>
    <t>Treatment Beds</t>
  </si>
  <si>
    <t>Drug Sobering</t>
  </si>
  <si>
    <t xml:space="preserve">20 beds </t>
  </si>
  <si>
    <t>TAY Residential Treatment Beds</t>
  </si>
  <si>
    <t>Residental Step-down Treatment Beds</t>
  </si>
  <si>
    <t>Locked Sub Acute</t>
  </si>
  <si>
    <t xml:space="preserve">31 beds </t>
  </si>
  <si>
    <t>Psych Skilled Nursing Facility</t>
  </si>
  <si>
    <t xml:space="preserve">13 beds </t>
  </si>
  <si>
    <t>Board &amp; Care</t>
  </si>
  <si>
    <t>69 beds</t>
  </si>
  <si>
    <t>Mental Health Residential</t>
  </si>
  <si>
    <t xml:space="preserve">Managed Alcohol </t>
  </si>
  <si>
    <t xml:space="preserve">20 Beds - currently 10 beds open and plan to expand to 20 by end of 2022 </t>
  </si>
  <si>
    <t>Coop Beds</t>
  </si>
  <si>
    <t xml:space="preserve">6 beds </t>
  </si>
  <si>
    <t>Urgent Care &amp; Crisis Diversion Facility</t>
  </si>
  <si>
    <t xml:space="preserve">16 beds. </t>
  </si>
  <si>
    <t>Transit Services</t>
  </si>
  <si>
    <t xml:space="preserve">Maintain funding for client transportation between from several new bed programs targeting homeless clients, including Drug Sobering. </t>
  </si>
  <si>
    <t>Dual diagnosis Transitional Care for Justice Involved</t>
  </si>
  <si>
    <t xml:space="preserve">New; 75 beds for justice involved. </t>
  </si>
  <si>
    <t>Dual diagnosis Transitional Care for Women in the Bayview</t>
  </si>
  <si>
    <t>Add dual diagnosis transitional care therapeutic teaching community  program for women in Bayview, 50 slots at a cost of $3.5m to increase geographic, racial, and gender equity. 5/4 Decreased proposal from 75 to 50 beds for women's therapeutic teaching community program in the Bayview.</t>
  </si>
  <si>
    <t>Acquisition</t>
  </si>
  <si>
    <t xml:space="preserve">Site acquisition for Behavioral Health Access and Drop In  </t>
  </si>
  <si>
    <t xml:space="preserve">New, use one time fund balance. </t>
  </si>
  <si>
    <t>Site Acquisition for Treatment Beds</t>
  </si>
  <si>
    <t>Acquisition/Capital</t>
  </si>
  <si>
    <t xml:space="preserve">Facility Maintenance fund for newly acquired sites </t>
  </si>
  <si>
    <t>New, use of one time fund balance.</t>
  </si>
  <si>
    <t>DPH Operating and Implementation Costs</t>
  </si>
  <si>
    <t xml:space="preserve">This year (and going forward) DPH will pull out their implementation, operation, and data costs for greater transparency. </t>
  </si>
  <si>
    <t>Reporting and outcome tracking</t>
  </si>
  <si>
    <t xml:space="preserve">New proposed use of one time fund balance </t>
  </si>
  <si>
    <t>What would this buy?</t>
  </si>
  <si>
    <t xml:space="preserve">DPH plans to utilize the one-time data reporting and outcome funds to support IT enhancements to build data systems to measure capacity, care coordination, and manage wait times. Urgent reporting and data needs have been limited by some gaps in data systems and capacity. These funds will help pay for technology infrastructure, consulting, and potentially some temporary positions. </t>
  </si>
  <si>
    <t>Mental Health Sources</t>
  </si>
  <si>
    <t>Mental Health Revenue Shortfall</t>
  </si>
  <si>
    <t>Mental Health Uses</t>
  </si>
  <si>
    <t>Mental Health Projected Year End Spending (acquisitions and operations)</t>
  </si>
  <si>
    <t>projected operations and acquisitions spending from 6 month report</t>
  </si>
  <si>
    <t>Mental Health Proposed Reserve</t>
  </si>
  <si>
    <t>New proposed use of one time fund balance</t>
  </si>
  <si>
    <t>Mental Health Operations Annual sources v Uses</t>
  </si>
  <si>
    <t>Estimated balance from 6 month report; using estimated balance to smooth revenue shortfall and maintain service levels.</t>
  </si>
  <si>
    <t>Mental Health Operations One Time Savings</t>
  </si>
  <si>
    <t>Mental Health Acquisitions Estimated Balance</t>
  </si>
  <si>
    <t>Estimated balance from 6 month report</t>
  </si>
  <si>
    <t xml:space="preserve"> </t>
  </si>
  <si>
    <t xml:space="preserve">4.30.22: HSH's proposal is to raise case management wages across the City's portfolio, not exclusively for Prop C funded programs.This recommendation may not be implemented unless HSH can identify funds across the portfolio to standardize a floor for case mangaement wages. </t>
  </si>
  <si>
    <t>Reassessing subsidy level to match market. Includes 200 TPC slots, Mainsteam vouchers in FY24.  HSH plans to allocate 150 funded Flex Pool slots for transgender clients</t>
  </si>
  <si>
    <t>4.30.22 Implemented by MOHCD. Recommend committee staff confirm amount proposed will pay for 50 additional subsidies; Followed up with MOHCD 5/2</t>
  </si>
  <si>
    <t>Targeted Homelessness Prevention services</t>
  </si>
  <si>
    <t>Legal Aid: Housing Advocacy and Tenant Right to Counsel</t>
  </si>
  <si>
    <t>Member Andrews: $1.75 m annually for two years to add 5 interdisciplinary legal advocacy teams to provide housing advocacy and ensure tenant right to counsel.</t>
  </si>
  <si>
    <t>These programs are already funded under the "eviction preve ntion and housing stabilization" line.</t>
  </si>
  <si>
    <t>Legal Aid: Public Benefits Advocacy</t>
  </si>
  <si>
    <t>Member Andrews: $1.75 m annually for two years to add 5 interdiscplinary legal advocacy teams to secure disability income for homeless and at-risk San Franciscans.</t>
  </si>
  <si>
    <t>Uses year end balance in 6 month report</t>
  </si>
  <si>
    <t>Prevention &amp; Diversion Estimated Balance</t>
  </si>
  <si>
    <t>Behavioral &amp; Clinical Health Services - Drop In</t>
  </si>
  <si>
    <t>Increase roving and drop-in services provided by CBOs that combine mobile behavioral health care and support accessing governmental benefits and Coordinated Entry, take funding from one time $17.5m Site Acquisition</t>
  </si>
  <si>
    <t>Co-Op Housing</t>
  </si>
  <si>
    <t xml:space="preserve">70 beds </t>
  </si>
  <si>
    <t xml:space="preserve">16 beds </t>
  </si>
  <si>
    <t>Treatment Bed Operations</t>
  </si>
  <si>
    <t xml:space="preserve"> 30 Beds - added 10 beds to existing 20 beds </t>
  </si>
  <si>
    <t>Dual diagnosis Transitional Care</t>
  </si>
  <si>
    <t>75 beds for women's therapeutic teaching community program in the Bayview. **Is this on top of the 75 beds for justice involved?</t>
  </si>
  <si>
    <t>Use a portion of the $17.5M for "Site Acquisition for Behavioral Health Access and Drop In" to increase roving and drop-in services provided by CBOs that combine mobile behavioral health care and support accessing governmental benefits and Coordinated Entry</t>
  </si>
  <si>
    <t>Mental Health Operations Estimated Balance</t>
  </si>
  <si>
    <t>One time Savings</t>
  </si>
  <si>
    <t>Jen proposed</t>
  </si>
  <si>
    <t>Less Current Year Projected Spending</t>
  </si>
  <si>
    <t>Less Aquistions Continuing Fund</t>
  </si>
  <si>
    <t>Projected Available Sources</t>
  </si>
  <si>
    <t>Less Mental Health Revenue Shortfall</t>
  </si>
  <si>
    <t>Less 10% Reserve For Two Years</t>
  </si>
  <si>
    <t>Projected Mental Health Sources Available</t>
  </si>
  <si>
    <t>Year End Surplus/Shortfall</t>
  </si>
  <si>
    <t>Running Year End Fund Balance</t>
  </si>
  <si>
    <t>Vote</t>
  </si>
  <si>
    <t>Source</t>
  </si>
  <si>
    <t>OCOH Fund</t>
  </si>
  <si>
    <t>Beginning</t>
  </si>
  <si>
    <t># of slots/households</t>
  </si>
  <si>
    <t>Project Type</t>
  </si>
  <si>
    <t>Cost, millions</t>
  </si>
  <si>
    <t>Duration</t>
  </si>
  <si>
    <t>Committee Proposal</t>
  </si>
  <si>
    <t>Passed</t>
  </si>
  <si>
    <t>Shannel/Julia</t>
  </si>
  <si>
    <t>Budget</t>
  </si>
  <si>
    <t>FY23</t>
  </si>
  <si>
    <t>Add</t>
  </si>
  <si>
    <t>Community Research Program</t>
  </si>
  <si>
    <t>ongoing</t>
  </si>
  <si>
    <t>Add $1m to administrative Allocation to fund Community Research Program</t>
  </si>
  <si>
    <t>Increases the Administrative allocation from .8% of fund to 1.2%. Requires rebalancing fund categories</t>
  </si>
  <si>
    <t>Ken</t>
  </si>
  <si>
    <t>Adult Housing</t>
  </si>
  <si>
    <t>FY 23</t>
  </si>
  <si>
    <t>Increase the Adult Housing Operating costs proposal by $0.2m in each of the next two fiscal years to allow staff wage increases equal to those increases proposed for staff in youth and family housing sites</t>
  </si>
  <si>
    <t>Case Manager base rate would increase to $28/hr. However, this recommendation may not be implemented unless HSH can identify funds across the portfolio to standardize a floor for case mangaement wages</t>
  </si>
  <si>
    <t>Subtract</t>
  </si>
  <si>
    <t>Remove PSH Equity Services proposal for pay equity and caseload adjustment in the City's pre-OCOH PSH sites, Recommend instead that the Mayor and Board of Supervisors allocate funding from non-OCOH sources for this urgently needed purpose.</t>
  </si>
  <si>
    <t>Jennifer</t>
  </si>
  <si>
    <t>Flex pool</t>
  </si>
  <si>
    <t>Add 60 flex pool subsidies for cis and trans women at a cost of $2.4 m; $40k per unit per year</t>
  </si>
  <si>
    <t>This funding level would support 57 slots ($42k per unit per year)</t>
  </si>
  <si>
    <t>Julia</t>
  </si>
  <si>
    <t>Family Housing</t>
  </si>
  <si>
    <t>fund balance</t>
  </si>
  <si>
    <t>Flex pool subsidies for doubled up families, including undocumented and asylum seeking families, at $1.82 ongoing beginning in FY23; ~$61k per unit per year</t>
  </si>
  <si>
    <t>Yes, PSH</t>
  </si>
  <si>
    <t>FY24</t>
  </si>
  <si>
    <t>PSH equity</t>
  </si>
  <si>
    <t>Add Flex pool subsidies for doubled up families, including undocumented and asylum seeking families, at $1.82 ongoing beginning in FY24;  ~$61k per unit per year</t>
  </si>
  <si>
    <t>Yes PSH</t>
  </si>
  <si>
    <t>SRO Stubsidies (MOHCD)</t>
  </si>
  <si>
    <t>Add 100 flex pool vouchers for SRO families in FY24 at a cost of $2m out of year 2 family housing balance. $20k Per Unit Per Year</t>
  </si>
  <si>
    <t>Family flex pool costs $57,608 per unit per year = $5.7m for the proposed intervention.</t>
  </si>
  <si>
    <t>TAY Housing</t>
  </si>
  <si>
    <t>ADD</t>
  </si>
  <si>
    <t>TAY Flex Pool</t>
  </si>
  <si>
    <t>Add language to encourage shared housing model in implementation of these funds. This was a theme in the listening sessions</t>
  </si>
  <si>
    <t>Julie</t>
  </si>
  <si>
    <t>Mental Health</t>
  </si>
  <si>
    <t>Specialized case management</t>
  </si>
  <si>
    <t>$17.5m Site acquisition for Behavioral Health Access and Drop In</t>
  </si>
  <si>
    <t>$2.5m annually to fund CBOs to provide benefits advocacy using the evidence based modle of lawyer + social worker, targeted to people experiencin ghomelessness as an essential component of integrated care.</t>
  </si>
  <si>
    <t>Not an eligible use of Mental Health</t>
  </si>
  <si>
    <t>Policy</t>
  </si>
  <si>
    <t>Recommend Behavioral and Clinical Health Services in shelters  with attention in the implementation to providing TAY mental health services for the community include on-site extended clinical hours for youth navigation center, including telehealth options.</t>
  </si>
  <si>
    <t>Redirect one time $17.5m to treatment bed site acquisition rather than Behavioral Health Access and Drop In Center.</t>
  </si>
  <si>
    <t>Prevention &amp; Diversion</t>
  </si>
  <si>
    <t>24 months</t>
  </si>
  <si>
    <t>Add RRH extensions for 100 families for 24 months at a cost of $2.76m over the 2 year budget ( $1,150 per household per month). Moved to Prevention.</t>
  </si>
  <si>
    <t>Committee proposal would fund 24 slots of RRH family extensions for two years.</t>
  </si>
  <si>
    <t> </t>
  </si>
  <si>
    <t>Problem Solving Adults, justice involved, veterans</t>
  </si>
  <si>
    <t>$1m annually to fund CBOs to provide benfits advocacy using the evidence-based model of lawyer + social worker secure disability and veterans income for households at risk of homelessness.</t>
  </si>
  <si>
    <t>Brett</t>
  </si>
  <si>
    <t>Add $1.75m annually for two years ($3.5m total) to create 5 interdisciplinary legal advocacy teams to provide housing advocacy and ensure tenant right to counsel.</t>
  </si>
  <si>
    <t>Already included in the Eviction prevention and housing stabilization</t>
  </si>
  <si>
    <t>Shelter &amp; Hygiene</t>
  </si>
  <si>
    <t xml:space="preserve">Hotel Vouchers </t>
  </si>
  <si>
    <t>one time</t>
  </si>
  <si>
    <t>Nav Center Operations</t>
  </si>
  <si>
    <t>Reduce Nav Center Operations line by $1.2m in FY 23 and add $.6m each to Hotel Vouchers for victims of DV and hotel vouchers for Pregnant People/Families</t>
  </si>
  <si>
    <t>Encourage HSH to closely review site feedback and address fundamental human rights concerns such as limited access to showers, quality food, potable water, transportation, and on-site support, as well as to work with programs to building community through partnering with other non-profits to bring on site enrichment activities.</t>
  </si>
  <si>
    <t>Mental Health Allocation</t>
  </si>
  <si>
    <t>Permanent Housing Allocation</t>
  </si>
  <si>
    <t>Prevention Allocation</t>
  </si>
  <si>
    <t>Emergency Shelter and Hygiene Allocation</t>
  </si>
  <si>
    <t>Allocation</t>
  </si>
  <si>
    <t>Proportion of Fund</t>
  </si>
  <si>
    <t>Youth Housing</t>
  </si>
  <si>
    <t>50% of Programmable Fund Balance</t>
  </si>
  <si>
    <t>25% of Programmable Fund Balance</t>
  </si>
  <si>
    <t>15% of Programmable Fund Balance</t>
  </si>
  <si>
    <t>10% of Programmable Fund Balance</t>
  </si>
  <si>
    <t>Up to 3% of Annual Fund Balance</t>
  </si>
  <si>
    <t>55% of Perm. Housing Allocation</t>
  </si>
  <si>
    <t>25% of Perm. Housing Allocation</t>
  </si>
  <si>
    <t>20% of Perm. Housing Allocation</t>
  </si>
  <si>
    <t>Programmable Fund Balance</t>
  </si>
  <si>
    <t>OCOH Administrative Allocation</t>
  </si>
  <si>
    <t>OCOH ADULTS/ALL POPULATIONS PERMANENT HOUSING</t>
  </si>
  <si>
    <t>OCOH YOUTH PERMANENT  HOUSING</t>
  </si>
  <si>
    <t>OCOH FAMILY PERMANENT HOUSING</t>
  </si>
  <si>
    <t>OCOH SHELTER &amp; HYGIENE SERVICES</t>
  </si>
  <si>
    <t>OCOH HOMELESSNESS PREVENTION AND DIVERSION SERVICES</t>
  </si>
  <si>
    <t>OCOH MENTAL HEALTH SERIVCES</t>
  </si>
  <si>
    <t>Mayor's Proposed Budget</t>
  </si>
  <si>
    <t>Tenderloin Center Operations</t>
  </si>
  <si>
    <t>Notes</t>
  </si>
  <si>
    <t>Committee recommended adding $1m annually for Community Research Program component of OCOH Needs Assessment</t>
  </si>
  <si>
    <t>Committee recommended that Mayor and/or Board find another funding source for this urgently needed enhancement.</t>
  </si>
  <si>
    <t>Committee recommended encouraging a shared housing model in the implementation of these funds.</t>
  </si>
  <si>
    <t>Committee recommended adding $1m annually to fund CBOs to provide benefits advocacy using the evidence-based model of lawyer + social worker, to secure disability and veterans income for households at risk of homelessness. The Committee stipulated that the recommendation is contingent upon funding soruces available in the Prevention category that are not already allocated, fully scoped, or part of an existing RFP.</t>
  </si>
  <si>
    <t>The Committee recommended implementing this program with attention to providing TAY mental health services for the community including on-site, extended clinical hours for youth navigation center, including telehealth options.</t>
  </si>
  <si>
    <t>The Committee recommended adding a dual diagnosis transitional care therapeutic teaching community  program for women in Bayview, 50 slots at a cost of $3.5m to increase geographic, racial, and gender equity. 5/4 Decreased proposal from 75 to 50 beds for women's therapeutic teaching community program in the Bayview.</t>
  </si>
  <si>
    <t>Committee recommended adding 30 subsidies for doubled up families, asylum seekers and undocumented at $1.82m in FY23 and ongoing; and adding 30 more subsidies for doubled up families at $1.82m in FY24 and ongoing. The recommendation is for permanent deep subsidies with housing stability and retention support services. This is not the same population served by MOHCD's SRO Families</t>
  </si>
  <si>
    <t>The Committee recommended adding 100 flex pool vouchers for SRO families beginning in FY203-2024. This recommendation follows the MOHCD service/cost model.</t>
  </si>
  <si>
    <t>Committee recommended against using one time savings to fund site acquisition for Behavioral Health Access and Drop In.</t>
  </si>
  <si>
    <t>Committee recommended using one-time savings to fund site acquisition for Treatment Beds (rather than Behavioral Health Access and Drop In Center).</t>
  </si>
  <si>
    <t>Committee recommended adding $0.6m fin FY 23, to make 20 additional hotel vouchers available to victims of domestic violence.</t>
  </si>
  <si>
    <t>Committee recommended adding $0.6m fin FY 23, to make 20 additional hotel vouchers available to pregnant people and families.</t>
  </si>
  <si>
    <t>The Committee recommended reducing funding for Navigation Center Operations by $1.2m in FY23, and to use that funding to fund hotel vouchers for victims of domestic violence, pregnant people, and families in FY23.</t>
  </si>
  <si>
    <t>Prevention &amp; Diversion Anticipated OCOH Revenue</t>
  </si>
  <si>
    <t>Emergency Sheler &amp; Housing Anticipated OCOH Revenue</t>
  </si>
  <si>
    <t>Administrative Allocation (revised or projected)</t>
  </si>
  <si>
    <t>Adult Housing Anticipated OCOH Revenue</t>
  </si>
  <si>
    <t>Committee's revenue projections have been rebalanced as a result of the recommendation to increase in the Administrative Allocation.</t>
  </si>
  <si>
    <t>TAY Housing Anticipated OCOH Revenue</t>
  </si>
  <si>
    <t>Family Housing Anticipated OCOH Revenue</t>
  </si>
  <si>
    <t>Mental Health Anticipated OCOH Revenue</t>
  </si>
  <si>
    <t>FY22-23 services will be funded by a one-time State grant.</t>
  </si>
  <si>
    <t>Fund Administration</t>
  </si>
  <si>
    <t>Contracted Servcies: Interpretation and Web</t>
  </si>
  <si>
    <t xml:space="preserve">Mayor's Proposed Budget increases acquisition allocation slightly in FY24. </t>
  </si>
  <si>
    <t>Mayor's Proposed Budget allocates additional funding for Family Housing Acquisition</t>
  </si>
  <si>
    <t>Adult Flex Pool PSH - Cis and Trans Women</t>
  </si>
  <si>
    <t>Committee recommended adding Rapid Re-Houisng Extensions of 24 months for 100 families at a cost of $1.38m annually. The Committee stipulated that the recommendation is contingent upon funding soruces available in the Prevention category that are not already allocated, fully scoped, or part of an existing RFP. Additionally, the Committee stipulated that funds for this program may be drawn from the Family Housing category as a short-term rental subsidy under the ordinance.</t>
  </si>
  <si>
    <t>Committee recommended adding 60 flex pool subsidies for cis- and trans women beginning in FY23, ongoing.</t>
  </si>
  <si>
    <t xml:space="preserve">Mayor's Proposed Budget allocates funding for TAY Housing Acquisition. </t>
  </si>
  <si>
    <t>Slight decreases in some program lines to allow increases in other treatment bed programs</t>
  </si>
  <si>
    <t>Reflects Committee's rec to increase Admin Allocation by $1m</t>
  </si>
  <si>
    <t>Controller's Office original proposal</t>
  </si>
  <si>
    <t>Family Housing SRO Subsidies (proposed expansion)</t>
  </si>
  <si>
    <t>New in Mayor's Proposed Budget. Continues operations through the end of the calendar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</si>
</sst>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_(* #,##0.00_);_(* \(#,##0.00\);_(* &quot;-&quot;?_);_(@_)"/>
  </numFmts>
  <fonts count="42" x14ac:knownFonts="1">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9"/>
      <color rgb="FF000000"/>
      <name val="Calibri"/>
      <family val="2"/>
      <scheme val="minor"/>
    </font>
    <font>
      <b/>
      <sz val="11"/>
      <color theme="0"/>
      <name val="Calibri"/>
      <family val="2"/>
      <scheme val="minor"/>
    </font>
    <font>
      <b/>
      <sz val="12"/>
      <color rgb="FF000000"/>
      <name val="Calibri"/>
      <family val="2"/>
      <scheme val="minor"/>
    </font>
    <font>
      <b/>
      <sz val="14"/>
      <color rgb="FF000000"/>
      <name val="Calibri"/>
      <family val="2"/>
      <scheme val="minor"/>
    </font>
    <font>
      <b/>
      <sz val="12"/>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sz val="12"/>
      <color theme="1"/>
      <name val="Calibri"/>
      <family val="2"/>
    </font>
    <font>
      <sz val="12"/>
      <name val="Calibri"/>
      <family val="2"/>
      <scheme val="minor"/>
    </font>
    <font>
      <b/>
      <sz val="14"/>
      <color theme="1"/>
      <name val="Calibri"/>
      <family val="2"/>
      <scheme val="minor"/>
    </font>
    <font>
      <sz val="12"/>
      <color rgb="FFFF0000"/>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i/>
      <sz val="12"/>
      <color rgb="FF000000"/>
      <name val="Calibri"/>
      <family val="2"/>
      <scheme val="minor"/>
    </font>
    <font>
      <b/>
      <sz val="12"/>
      <name val="Calibri"/>
      <family val="2"/>
      <scheme val="minor"/>
    </font>
    <font>
      <b/>
      <sz val="14"/>
      <name val="Calibri"/>
      <family val="2"/>
      <scheme val="minor"/>
    </font>
    <font>
      <i/>
      <sz val="11"/>
      <color theme="1"/>
      <name val="Calibri"/>
      <family val="2"/>
      <scheme val="minor"/>
    </font>
    <font>
      <b/>
      <sz val="12"/>
      <color rgb="FFFFFFFF"/>
      <name val="Calibri"/>
      <family val="2"/>
      <scheme val="minor"/>
    </font>
    <font>
      <sz val="12"/>
      <color rgb="FF000000"/>
      <name val="Calibri"/>
      <family val="2"/>
    </font>
    <font>
      <sz val="11"/>
      <color rgb="FF000000"/>
      <name val="Calibri"/>
      <family val="2"/>
    </font>
    <font>
      <sz val="11"/>
      <color rgb="FF000000"/>
      <name val="Calibri"/>
      <family val="2"/>
    </font>
    <font>
      <sz val="12"/>
      <color rgb="FFFF0000"/>
      <name val="Calibri"/>
      <family val="2"/>
    </font>
    <font>
      <sz val="10"/>
      <color rgb="FFFF0000"/>
      <name val="Calibri"/>
      <family val="2"/>
      <scheme val="minor"/>
    </font>
    <font>
      <strike/>
      <sz val="11"/>
      <color rgb="FF000000"/>
      <name val="Calibri"/>
      <family val="2"/>
    </font>
    <font>
      <strike/>
      <sz val="11"/>
      <color theme="1"/>
      <name val="Calibri"/>
      <family val="2"/>
      <scheme val="minor"/>
    </font>
    <font>
      <b/>
      <sz val="10"/>
      <color theme="0"/>
      <name val="Calibri"/>
      <family val="2"/>
      <scheme val="minor"/>
    </font>
    <font>
      <sz val="10"/>
      <color theme="1"/>
      <name val="Calibri"/>
      <family val="2"/>
      <scheme val="minor"/>
    </font>
    <font>
      <b/>
      <sz val="10"/>
      <color rgb="FFFFFFFF"/>
      <name val="Calibri"/>
      <family val="2"/>
      <scheme val="minor"/>
    </font>
    <font>
      <sz val="10"/>
      <color rgb="FF000000"/>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sz val="10"/>
      <name val="Calibri"/>
      <family val="2"/>
      <scheme val="minor"/>
    </font>
    <font>
      <sz val="10"/>
      <name val="Calibri"/>
      <family val="2"/>
    </font>
    <font>
      <sz val="10"/>
      <color theme="1"/>
      <name val="Calibri"/>
      <family val="2"/>
    </font>
    <font>
      <sz val="11"/>
      <color theme="0"/>
      <name val="Calibri"/>
      <family val="2"/>
      <scheme val="minor"/>
    </font>
  </fonts>
  <fills count="33">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theme="5"/>
        <bgColor indexed="64"/>
      </patternFill>
    </fill>
    <fill>
      <patternFill patternType="solid">
        <fgColor rgb="FFFFD966"/>
        <bgColor rgb="FF000000"/>
      </patternFill>
    </fill>
    <fill>
      <patternFill patternType="solid">
        <fgColor theme="0"/>
        <bgColor indexed="64"/>
      </patternFill>
    </fill>
    <fill>
      <patternFill patternType="solid">
        <fgColor theme="7" tint="0.39997558519241921"/>
        <bgColor rgb="FF000000"/>
      </patternFill>
    </fill>
    <fill>
      <patternFill patternType="solid">
        <fgColor theme="5"/>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9"/>
        <bgColor rgb="FF000000"/>
      </patternFill>
    </fill>
    <fill>
      <patternFill patternType="solid">
        <fgColor theme="0"/>
        <bgColor rgb="FF000000"/>
      </patternFill>
    </fill>
    <fill>
      <patternFill patternType="solid">
        <fgColor rgb="FF70AD47"/>
        <bgColor rgb="FF000000"/>
      </patternFill>
    </fill>
    <fill>
      <patternFill patternType="solid">
        <fgColor theme="0" tint="-0.499984740745262"/>
        <bgColor indexed="64"/>
      </patternFill>
    </fill>
    <fill>
      <patternFill patternType="solid">
        <fgColor rgb="FFFFFFFF"/>
        <bgColor indexed="64"/>
      </patternFill>
    </fill>
    <fill>
      <patternFill patternType="solid">
        <fgColor theme="1"/>
        <bgColor indexed="64"/>
      </patternFill>
    </fill>
    <fill>
      <patternFill patternType="solid">
        <fgColor rgb="FF0070C0"/>
        <bgColor indexed="64"/>
      </patternFill>
    </fill>
    <fill>
      <patternFill patternType="solid">
        <fgColor theme="4"/>
        <bgColor indexed="64"/>
      </patternFill>
    </fill>
    <fill>
      <patternFill patternType="solid">
        <fgColor rgb="FFFFFF00"/>
        <bgColor rgb="FF000000"/>
      </patternFill>
    </fill>
    <fill>
      <patternFill patternType="solid">
        <fgColor rgb="FFFFFF00"/>
        <bgColor indexed="64"/>
      </patternFill>
    </fill>
    <fill>
      <patternFill patternType="solid">
        <fgColor theme="7" tint="0.59999389629810485"/>
        <bgColor indexed="64"/>
      </patternFill>
    </fill>
    <fill>
      <patternFill patternType="solid">
        <fgColor rgb="FF808080"/>
        <bgColor indexed="64"/>
      </patternFill>
    </fill>
    <fill>
      <patternFill patternType="solid">
        <fgColor rgb="FFD9D9D9"/>
        <bgColor indexed="64"/>
      </patternFill>
    </fill>
    <fill>
      <patternFill patternType="solid">
        <fgColor rgb="FFBFBFBF"/>
        <bgColor indexed="64"/>
      </patternFill>
    </fill>
    <fill>
      <patternFill patternType="solid">
        <fgColor rgb="FF70AD47"/>
        <bgColor indexed="64"/>
      </patternFill>
    </fill>
    <fill>
      <patternFill patternType="solid">
        <fgColor rgb="FFFFD9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39997558519241921"/>
        <bgColor rgb="FF000000"/>
      </patternFill>
    </fill>
  </fills>
  <borders count="98">
    <border>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medium">
        <color indexed="64"/>
      </top>
      <bottom style="medium">
        <color indexed="64"/>
      </bottom>
      <diagonal/>
    </border>
    <border>
      <left style="dotted">
        <color indexed="64"/>
      </left>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style="dotted">
        <color indexed="64"/>
      </bottom>
      <diagonal/>
    </border>
    <border>
      <left/>
      <right style="dotted">
        <color auto="1"/>
      </right>
      <top style="dotted">
        <color auto="1"/>
      </top>
      <bottom style="dotted">
        <color auto="1"/>
      </bottom>
      <diagonal/>
    </border>
    <border>
      <left style="dotted">
        <color auto="1"/>
      </left>
      <right style="dotted">
        <color auto="1"/>
      </right>
      <top style="dotted">
        <color auto="1"/>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dotted">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dotted">
        <color auto="1"/>
      </right>
      <top style="dotted">
        <color auto="1"/>
      </top>
      <bottom/>
      <diagonal/>
    </border>
    <border>
      <left style="hair">
        <color indexed="64"/>
      </left>
      <right style="hair">
        <color indexed="64"/>
      </right>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right/>
      <top style="dotted">
        <color auto="1"/>
      </top>
      <bottom style="dotted">
        <color auto="1"/>
      </bottom>
      <diagonal/>
    </border>
    <border>
      <left style="dotted">
        <color indexed="64"/>
      </left>
      <right style="dotted">
        <color indexed="64"/>
      </right>
      <top/>
      <bottom/>
      <diagonal/>
    </border>
    <border>
      <left style="medium">
        <color indexed="64"/>
      </left>
      <right/>
      <top style="dotted">
        <color indexed="64"/>
      </top>
      <bottom/>
      <diagonal/>
    </border>
    <border>
      <left/>
      <right style="dotted">
        <color rgb="FF000000"/>
      </right>
      <top style="dotted">
        <color auto="1"/>
      </top>
      <bottom style="dotted">
        <color rgb="FF000000"/>
      </bottom>
      <diagonal/>
    </border>
    <border>
      <left style="dotted">
        <color rgb="FF000000"/>
      </left>
      <right style="dotted">
        <color rgb="FF000000"/>
      </right>
      <top style="dotted">
        <color indexed="64"/>
      </top>
      <bottom style="dotted">
        <color rgb="FF000000"/>
      </bottom>
      <diagonal/>
    </border>
    <border>
      <left style="dotted">
        <color rgb="FF000000"/>
      </left>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auto="1"/>
      </bottom>
      <diagonal/>
    </border>
    <border>
      <left style="dotted">
        <color rgb="FF000000"/>
      </left>
      <right style="dotted">
        <color rgb="FF000000"/>
      </right>
      <top style="dotted">
        <color rgb="FF000000"/>
      </top>
      <bottom style="dotted">
        <color indexed="64"/>
      </bottom>
      <diagonal/>
    </border>
    <border>
      <left style="dotted">
        <color rgb="FF000000"/>
      </left>
      <right/>
      <top style="dotted">
        <color rgb="FF000000"/>
      </top>
      <bottom/>
      <diagonal/>
    </border>
    <border>
      <left/>
      <right style="dotted">
        <color rgb="FF000000"/>
      </right>
      <top style="medium">
        <color indexed="64"/>
      </top>
      <bottom style="dotted">
        <color rgb="FF000000"/>
      </bottom>
      <diagonal/>
    </border>
    <border>
      <left style="dotted">
        <color rgb="FF000000"/>
      </left>
      <right style="dotted">
        <color rgb="FF000000"/>
      </right>
      <top style="medium">
        <color indexed="64"/>
      </top>
      <bottom style="dotted">
        <color rgb="FF000000"/>
      </bottom>
      <diagonal/>
    </border>
    <border>
      <left style="dotted">
        <color rgb="FF000000"/>
      </left>
      <right style="dotted">
        <color auto="1"/>
      </right>
      <top style="dotted">
        <color auto="1"/>
      </top>
      <bottom style="dotted">
        <color rgb="FF000000"/>
      </bottom>
      <diagonal/>
    </border>
    <border>
      <left style="dotted">
        <color rgb="FF000000"/>
      </left>
      <right style="dotted">
        <color auto="1"/>
      </right>
      <top style="dotted">
        <color rgb="FF000000"/>
      </top>
      <bottom style="dotted">
        <color rgb="FF000000"/>
      </bottom>
      <diagonal/>
    </border>
    <border>
      <left style="dotted">
        <color rgb="FF000000"/>
      </left>
      <right style="dotted">
        <color auto="1"/>
      </right>
      <top style="dotted">
        <color rgb="FF000000"/>
      </top>
      <bottom style="dotted">
        <color auto="1"/>
      </bottom>
      <diagonal/>
    </border>
    <border>
      <left/>
      <right style="dashed">
        <color rgb="FF000000"/>
      </right>
      <top/>
      <bottom style="dotted">
        <color auto="1"/>
      </bottom>
      <diagonal/>
    </border>
    <border>
      <left style="dashed">
        <color rgb="FF000000"/>
      </left>
      <right style="dashed">
        <color rgb="FF000000"/>
      </right>
      <top/>
      <bottom/>
      <diagonal/>
    </border>
    <border>
      <left style="dashed">
        <color rgb="FF000000"/>
      </left>
      <right/>
      <top/>
      <bottom/>
      <diagonal/>
    </border>
    <border>
      <left style="dotted">
        <color rgb="FF000000"/>
      </left>
      <right style="dotted">
        <color rgb="FF000000"/>
      </right>
      <top/>
      <bottom style="dotted">
        <color rgb="FF000000"/>
      </bottom>
      <diagonal/>
    </border>
    <border>
      <left style="dotted">
        <color rgb="FF000000"/>
      </left>
      <right style="dotted">
        <color rgb="FF000000"/>
      </right>
      <top style="thin">
        <color auto="1"/>
      </top>
      <bottom style="dotted">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hair">
        <color indexed="64"/>
      </right>
      <top/>
      <bottom/>
      <diagonal/>
    </border>
    <border>
      <left style="medium">
        <color rgb="FF000000"/>
      </left>
      <right style="dotted">
        <color indexed="64"/>
      </right>
      <top style="dotted">
        <color indexed="64"/>
      </top>
      <bottom style="dotted">
        <color indexed="64"/>
      </bottom>
      <diagonal/>
    </border>
    <border>
      <left style="dotted">
        <color indexed="64"/>
      </left>
      <right style="medium">
        <color rgb="FF000000"/>
      </right>
      <top style="dotted">
        <color indexed="64"/>
      </top>
      <bottom style="dotted">
        <color indexed="64"/>
      </bottom>
      <diagonal/>
    </border>
    <border>
      <left style="medium">
        <color rgb="FF000000"/>
      </left>
      <right style="dotted">
        <color indexed="64"/>
      </right>
      <top/>
      <bottom style="dotted">
        <color indexed="64"/>
      </bottom>
      <diagonal/>
    </border>
    <border>
      <left style="dotted">
        <color indexed="64"/>
      </left>
      <right style="medium">
        <color rgb="FF000000"/>
      </right>
      <top/>
      <bottom style="dotted">
        <color indexed="64"/>
      </bottom>
      <diagonal/>
    </border>
    <border>
      <left style="medium">
        <color rgb="FF000000"/>
      </left>
      <right style="dotted">
        <color indexed="64"/>
      </right>
      <top style="dotted">
        <color indexed="64"/>
      </top>
      <bottom style="medium">
        <color rgb="FF000000"/>
      </bottom>
      <diagonal/>
    </border>
    <border>
      <left style="dotted">
        <color indexed="64"/>
      </left>
      <right style="dotted">
        <color indexed="64"/>
      </right>
      <top style="dotted">
        <color indexed="64"/>
      </top>
      <bottom style="medium">
        <color rgb="FF000000"/>
      </bottom>
      <diagonal/>
    </border>
    <border>
      <left style="dotted">
        <color indexed="64"/>
      </left>
      <right style="medium">
        <color rgb="FF000000"/>
      </right>
      <top style="dotted">
        <color indexed="64"/>
      </top>
      <bottom style="medium">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diagonal/>
    </border>
    <border>
      <left style="medium">
        <color rgb="FF000000"/>
      </left>
      <right style="hair">
        <color indexed="64"/>
      </right>
      <top style="medium">
        <color rgb="FF000000"/>
      </top>
      <bottom style="medium">
        <color indexed="64"/>
      </bottom>
      <diagonal/>
    </border>
    <border>
      <left style="hair">
        <color indexed="64"/>
      </left>
      <right style="hair">
        <color indexed="64"/>
      </right>
      <top style="medium">
        <color rgb="FF000000"/>
      </top>
      <bottom style="medium">
        <color indexed="64"/>
      </bottom>
      <diagonal/>
    </border>
    <border>
      <left style="medium">
        <color rgb="FF000000"/>
      </left>
      <right/>
      <top/>
      <bottom/>
      <diagonal/>
    </border>
    <border>
      <left style="dotted">
        <color indexed="64"/>
      </left>
      <right style="medium">
        <color indexed="64"/>
      </right>
      <top style="medium">
        <color indexed="64"/>
      </top>
      <bottom style="dotted">
        <color rgb="FF000000"/>
      </bottom>
      <diagonal/>
    </border>
    <border>
      <left style="dotted">
        <color indexed="64"/>
      </left>
      <right style="medium">
        <color indexed="64"/>
      </right>
      <top style="dotted">
        <color rgb="FF000000"/>
      </top>
      <bottom style="dotted">
        <color rgb="FF000000"/>
      </bottom>
      <diagonal/>
    </border>
    <border>
      <left style="dotted">
        <color indexed="64"/>
      </left>
      <right style="medium">
        <color indexed="64"/>
      </right>
      <top style="dotted">
        <color rgb="FF000000"/>
      </top>
      <bottom style="dotted">
        <color indexed="64"/>
      </bottom>
      <diagonal/>
    </border>
    <border>
      <left style="medium">
        <color indexed="64"/>
      </left>
      <right style="dotted">
        <color rgb="FF000000"/>
      </right>
      <top style="dotted">
        <color rgb="FF000000"/>
      </top>
      <bottom/>
      <diagonal/>
    </border>
    <border>
      <left style="medium">
        <color indexed="64"/>
      </left>
      <right style="dotted">
        <color rgb="FF000000"/>
      </right>
      <top/>
      <bottom style="dotted">
        <color rgb="FF000000"/>
      </bottom>
      <diagonal/>
    </border>
    <border>
      <left/>
      <right style="medium">
        <color indexed="64"/>
      </right>
      <top/>
      <bottom style="medium">
        <color indexed="64"/>
      </bottom>
      <diagonal/>
    </border>
    <border>
      <left style="thick">
        <color indexed="64"/>
      </left>
      <right style="dotted">
        <color indexed="64"/>
      </right>
      <top style="thick">
        <color indexed="64"/>
      </top>
      <bottom style="dotted">
        <color indexed="64"/>
      </bottom>
      <diagonal/>
    </border>
    <border>
      <left style="dotted">
        <color indexed="64"/>
      </left>
      <right style="dotted">
        <color indexed="64"/>
      </right>
      <top style="thick">
        <color indexed="64"/>
      </top>
      <bottom style="dotted">
        <color indexed="64"/>
      </bottom>
      <diagonal/>
    </border>
    <border>
      <left style="dotted">
        <color indexed="64"/>
      </left>
      <right style="thick">
        <color indexed="64"/>
      </right>
      <top style="thick">
        <color indexed="64"/>
      </top>
      <bottom style="dotted">
        <color indexed="64"/>
      </bottom>
      <diagonal/>
    </border>
    <border>
      <left style="thick">
        <color indexed="64"/>
      </left>
      <right style="dotted">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medium">
        <color indexed="64"/>
      </left>
      <right style="dotted">
        <color rgb="FF000000"/>
      </right>
      <top/>
      <bottom/>
      <diagonal/>
    </border>
    <border>
      <left style="hair">
        <color indexed="64"/>
      </left>
      <right style="dotted">
        <color indexed="64"/>
      </right>
      <top style="medium">
        <color indexed="64"/>
      </top>
      <bottom style="dotted">
        <color indexed="64"/>
      </bottom>
      <diagonal/>
    </border>
    <border>
      <left style="medium">
        <color indexed="64"/>
      </left>
      <right style="dotted">
        <color rgb="FF000000"/>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83">
    <xf numFmtId="0" fontId="0" fillId="0" borderId="0" xfId="0"/>
    <xf numFmtId="0" fontId="0" fillId="0" borderId="0" xfId="0" applyAlignment="1">
      <alignment wrapText="1"/>
    </xf>
    <xf numFmtId="0" fontId="4" fillId="6" borderId="0" xfId="0" applyFont="1" applyFill="1" applyAlignment="1">
      <alignment wrapText="1"/>
    </xf>
    <xf numFmtId="0" fontId="3" fillId="0" borderId="0" xfId="0" applyFont="1" applyAlignment="1">
      <alignment wrapText="1"/>
    </xf>
    <xf numFmtId="0" fontId="3" fillId="3"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0" fontId="0" fillId="6" borderId="0" xfId="0" applyFill="1" applyAlignment="1">
      <alignment wrapText="1"/>
    </xf>
    <xf numFmtId="0" fontId="3" fillId="6" borderId="0" xfId="0" applyFont="1" applyFill="1" applyAlignment="1">
      <alignment wrapText="1"/>
    </xf>
    <xf numFmtId="0" fontId="2" fillId="6" borderId="0" xfId="0" applyFont="1" applyFill="1" applyBorder="1" applyAlignment="1">
      <alignment wrapText="1"/>
    </xf>
    <xf numFmtId="0" fontId="8" fillId="14" borderId="2" xfId="0" applyFont="1" applyFill="1" applyBorder="1" applyAlignment="1">
      <alignment wrapText="1"/>
    </xf>
    <xf numFmtId="0" fontId="9" fillId="0" borderId="0" xfId="0" applyFont="1" applyFill="1" applyAlignment="1">
      <alignment wrapText="1"/>
    </xf>
    <xf numFmtId="0" fontId="9" fillId="6" borderId="0" xfId="0" applyFont="1" applyFill="1" applyAlignment="1">
      <alignment wrapText="1"/>
    </xf>
    <xf numFmtId="0" fontId="11" fillId="6" borderId="0" xfId="0" applyFont="1" applyFill="1" applyAlignment="1">
      <alignment wrapText="1"/>
    </xf>
    <xf numFmtId="0" fontId="11" fillId="0" borderId="0" xfId="0" applyFont="1" applyFill="1" applyAlignment="1">
      <alignment wrapText="1"/>
    </xf>
    <xf numFmtId="0" fontId="9" fillId="0" borderId="0" xfId="0" applyFont="1" applyAlignment="1">
      <alignment wrapText="1"/>
    </xf>
    <xf numFmtId="0" fontId="11" fillId="0" borderId="0" xfId="0" applyFont="1" applyAlignment="1">
      <alignment wrapText="1"/>
    </xf>
    <xf numFmtId="0" fontId="9" fillId="4" borderId="0" xfId="0" applyFont="1" applyFill="1" applyAlignment="1">
      <alignment wrapText="1"/>
    </xf>
    <xf numFmtId="0" fontId="9" fillId="9" borderId="0" xfId="0" applyFont="1" applyFill="1" applyAlignment="1">
      <alignment wrapText="1"/>
    </xf>
    <xf numFmtId="0" fontId="11" fillId="9"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1" fillId="0" borderId="12" xfId="0" applyFont="1" applyFill="1" applyBorder="1"/>
    <xf numFmtId="0" fontId="8" fillId="14" borderId="6" xfId="0" applyFont="1" applyFill="1" applyBorder="1" applyAlignment="1">
      <alignment wrapText="1"/>
    </xf>
    <xf numFmtId="0" fontId="11" fillId="6" borderId="0" xfId="0" applyFont="1" applyFill="1" applyBorder="1" applyAlignment="1">
      <alignment wrapText="1"/>
    </xf>
    <xf numFmtId="0" fontId="6" fillId="3" borderId="5" xfId="0" applyFont="1" applyFill="1" applyBorder="1" applyAlignment="1">
      <alignment wrapText="1"/>
    </xf>
    <xf numFmtId="0" fontId="9" fillId="0" borderId="12" xfId="0" applyFont="1" applyFill="1" applyBorder="1" applyAlignment="1">
      <alignment wrapText="1"/>
    </xf>
    <xf numFmtId="0" fontId="9" fillId="0" borderId="8" xfId="0" applyFont="1" applyBorder="1" applyAlignment="1">
      <alignment wrapText="1"/>
    </xf>
    <xf numFmtId="0" fontId="9" fillId="0" borderId="11" xfId="0" applyFont="1" applyBorder="1" applyAlignment="1">
      <alignment wrapText="1"/>
    </xf>
    <xf numFmtId="3" fontId="9" fillId="6" borderId="0" xfId="0" applyNumberFormat="1" applyFont="1" applyFill="1" applyBorder="1" applyAlignment="1">
      <alignment wrapText="1"/>
    </xf>
    <xf numFmtId="0" fontId="9" fillId="0" borderId="10" xfId="0" applyFont="1" applyBorder="1" applyAlignment="1">
      <alignment wrapText="1"/>
    </xf>
    <xf numFmtId="0" fontId="11" fillId="0" borderId="11" xfId="0" applyFont="1" applyFill="1" applyBorder="1"/>
    <xf numFmtId="0" fontId="11" fillId="17" borderId="0" xfId="0" applyFont="1" applyFill="1" applyAlignment="1">
      <alignment wrapText="1"/>
    </xf>
    <xf numFmtId="164" fontId="8" fillId="14" borderId="2" xfId="0" applyNumberFormat="1" applyFont="1" applyFill="1" applyBorder="1" applyAlignment="1">
      <alignment horizontal="right" wrapText="1"/>
    </xf>
    <xf numFmtId="164" fontId="9" fillId="0" borderId="9" xfId="0" applyNumberFormat="1" applyFont="1" applyFill="1" applyBorder="1" applyAlignment="1">
      <alignment horizontal="right" wrapText="1"/>
    </xf>
    <xf numFmtId="164" fontId="9" fillId="0" borderId="12" xfId="0" applyNumberFormat="1" applyFont="1" applyFill="1" applyBorder="1" applyAlignment="1">
      <alignment horizontal="right" wrapText="1"/>
    </xf>
    <xf numFmtId="164" fontId="6" fillId="5" borderId="12" xfId="0" applyNumberFormat="1" applyFont="1" applyFill="1" applyBorder="1" applyAlignment="1">
      <alignment horizontal="right" wrapText="1"/>
    </xf>
    <xf numFmtId="164" fontId="6" fillId="7" borderId="12" xfId="0" applyNumberFormat="1" applyFont="1" applyFill="1" applyBorder="1" applyAlignment="1">
      <alignment horizontal="right" wrapText="1"/>
    </xf>
    <xf numFmtId="164" fontId="6" fillId="5" borderId="13" xfId="0" applyNumberFormat="1" applyFont="1" applyFill="1" applyBorder="1" applyAlignment="1">
      <alignment horizontal="right" wrapText="1"/>
    </xf>
    <xf numFmtId="164" fontId="0" fillId="6" borderId="0" xfId="0" applyNumberFormat="1" applyFill="1" applyAlignment="1">
      <alignment horizontal="right" wrapText="1"/>
    </xf>
    <xf numFmtId="164" fontId="6" fillId="7" borderId="17" xfId="0" applyNumberFormat="1" applyFont="1" applyFill="1" applyBorder="1" applyAlignment="1">
      <alignment horizontal="right" wrapText="1"/>
    </xf>
    <xf numFmtId="164" fontId="6" fillId="7" borderId="21" xfId="0" applyNumberFormat="1" applyFont="1" applyFill="1" applyBorder="1" applyAlignment="1">
      <alignment horizontal="right" wrapText="1"/>
    </xf>
    <xf numFmtId="164" fontId="6" fillId="7" borderId="13" xfId="0" applyNumberFormat="1" applyFont="1" applyFill="1" applyBorder="1" applyAlignment="1">
      <alignment horizontal="right" wrapText="1"/>
    </xf>
    <xf numFmtId="164" fontId="6" fillId="5" borderId="15" xfId="0" applyNumberFormat="1" applyFont="1" applyFill="1" applyBorder="1" applyAlignment="1">
      <alignment horizontal="right" wrapText="1"/>
    </xf>
    <xf numFmtId="164" fontId="6" fillId="5" borderId="16" xfId="0" applyNumberFormat="1" applyFont="1" applyFill="1" applyBorder="1" applyAlignment="1">
      <alignment horizontal="right" wrapText="1"/>
    </xf>
    <xf numFmtId="164" fontId="2" fillId="6" borderId="0" xfId="0" applyNumberFormat="1" applyFont="1" applyFill="1" applyBorder="1" applyAlignment="1">
      <alignment horizontal="right" wrapText="1"/>
    </xf>
    <xf numFmtId="164" fontId="9" fillId="6" borderId="0" xfId="0" applyNumberFormat="1" applyFont="1" applyFill="1" applyAlignment="1">
      <alignment horizontal="right" wrapText="1"/>
    </xf>
    <xf numFmtId="164" fontId="6" fillId="8" borderId="17" xfId="0" applyNumberFormat="1" applyFont="1" applyFill="1" applyBorder="1" applyAlignment="1">
      <alignment horizontal="right" wrapText="1"/>
    </xf>
    <xf numFmtId="164" fontId="6" fillId="8" borderId="21" xfId="0" applyNumberFormat="1" applyFont="1" applyFill="1" applyBorder="1" applyAlignment="1">
      <alignment horizontal="right" wrapText="1"/>
    </xf>
    <xf numFmtId="164" fontId="11" fillId="4" borderId="12" xfId="0" applyNumberFormat="1" applyFont="1" applyFill="1" applyBorder="1" applyAlignment="1">
      <alignment horizontal="right" wrapText="1"/>
    </xf>
    <xf numFmtId="164" fontId="6" fillId="8" borderId="13" xfId="0" applyNumberFormat="1" applyFont="1" applyFill="1" applyBorder="1" applyAlignment="1">
      <alignment horizontal="right" wrapText="1"/>
    </xf>
    <xf numFmtId="164" fontId="10" fillId="4" borderId="12" xfId="0" applyNumberFormat="1" applyFont="1" applyFill="1" applyBorder="1" applyAlignment="1">
      <alignment horizontal="right" wrapText="1"/>
    </xf>
    <xf numFmtId="164" fontId="6" fillId="8" borderId="12" xfId="0" applyNumberFormat="1" applyFont="1" applyFill="1" applyBorder="1" applyAlignment="1">
      <alignment horizontal="right" wrapText="1"/>
    </xf>
    <xf numFmtId="164" fontId="6" fillId="8" borderId="15" xfId="1" applyNumberFormat="1" applyFont="1" applyFill="1" applyBorder="1" applyAlignment="1">
      <alignment horizontal="right" wrapText="1"/>
    </xf>
    <xf numFmtId="164" fontId="6" fillId="8" borderId="16" xfId="0" applyNumberFormat="1" applyFont="1" applyFill="1" applyBorder="1" applyAlignment="1">
      <alignment horizontal="right" wrapText="1"/>
    </xf>
    <xf numFmtId="164" fontId="6" fillId="12" borderId="19" xfId="1" applyNumberFormat="1" applyFont="1" applyFill="1" applyBorder="1" applyAlignment="1">
      <alignment horizontal="right" wrapText="1"/>
    </xf>
    <xf numFmtId="164" fontId="11" fillId="6" borderId="0" xfId="0" applyNumberFormat="1" applyFont="1" applyFill="1" applyAlignment="1">
      <alignment horizontal="right" wrapText="1"/>
    </xf>
    <xf numFmtId="164" fontId="6" fillId="10" borderId="17" xfId="0" applyNumberFormat="1" applyFont="1" applyFill="1" applyBorder="1" applyAlignment="1">
      <alignment horizontal="right" wrapText="1"/>
    </xf>
    <xf numFmtId="164" fontId="6" fillId="10" borderId="21" xfId="0" applyNumberFormat="1" applyFont="1" applyFill="1" applyBorder="1" applyAlignment="1">
      <alignment horizontal="right" wrapText="1"/>
    </xf>
    <xf numFmtId="164" fontId="6" fillId="10" borderId="12" xfId="0" applyNumberFormat="1" applyFont="1" applyFill="1" applyBorder="1" applyAlignment="1">
      <alignment horizontal="right" wrapText="1"/>
    </xf>
    <xf numFmtId="164" fontId="6" fillId="10" borderId="13" xfId="0" applyNumberFormat="1" applyFont="1" applyFill="1" applyBorder="1" applyAlignment="1">
      <alignment horizontal="right" wrapText="1"/>
    </xf>
    <xf numFmtId="164" fontId="6" fillId="10" borderId="15" xfId="0" applyNumberFormat="1" applyFont="1" applyFill="1" applyBorder="1" applyAlignment="1">
      <alignment horizontal="right" wrapText="1"/>
    </xf>
    <xf numFmtId="164" fontId="6" fillId="10" borderId="16" xfId="0" applyNumberFormat="1" applyFont="1" applyFill="1" applyBorder="1" applyAlignment="1">
      <alignment horizontal="right" wrapText="1"/>
    </xf>
    <xf numFmtId="164" fontId="9" fillId="0" borderId="0" xfId="0" applyNumberFormat="1" applyFont="1" applyAlignment="1">
      <alignment horizontal="right" wrapText="1"/>
    </xf>
    <xf numFmtId="164" fontId="11" fillId="0" borderId="12" xfId="0" applyNumberFormat="1" applyFont="1" applyBorder="1" applyAlignment="1">
      <alignment horizontal="right" wrapText="1"/>
    </xf>
    <xf numFmtId="164" fontId="11" fillId="0" borderId="12" xfId="0" applyNumberFormat="1" applyFont="1" applyFill="1" applyBorder="1" applyAlignment="1">
      <alignment horizontal="right" wrapText="1"/>
    </xf>
    <xf numFmtId="164" fontId="6" fillId="11" borderId="17" xfId="0" applyNumberFormat="1" applyFont="1" applyFill="1" applyBorder="1" applyAlignment="1">
      <alignment horizontal="right" wrapText="1"/>
    </xf>
    <xf numFmtId="164" fontId="6" fillId="11" borderId="21" xfId="0" applyNumberFormat="1" applyFont="1" applyFill="1" applyBorder="1" applyAlignment="1">
      <alignment horizontal="right" wrapText="1"/>
    </xf>
    <xf numFmtId="164" fontId="6" fillId="11" borderId="12" xfId="0" applyNumberFormat="1" applyFont="1" applyFill="1" applyBorder="1" applyAlignment="1">
      <alignment horizontal="right" wrapText="1"/>
    </xf>
    <xf numFmtId="164" fontId="6" fillId="11" borderId="13" xfId="0" applyNumberFormat="1" applyFont="1" applyFill="1" applyBorder="1" applyAlignment="1">
      <alignment horizontal="right" wrapText="1"/>
    </xf>
    <xf numFmtId="164" fontId="6" fillId="11" borderId="15" xfId="0" applyNumberFormat="1" applyFont="1" applyFill="1" applyBorder="1" applyAlignment="1">
      <alignment horizontal="right" wrapText="1"/>
    </xf>
    <xf numFmtId="164" fontId="6" fillId="11" borderId="16" xfId="0" applyNumberFormat="1" applyFont="1" applyFill="1" applyBorder="1" applyAlignment="1">
      <alignment horizontal="right" wrapText="1"/>
    </xf>
    <xf numFmtId="164" fontId="11" fillId="0" borderId="0" xfId="0" applyNumberFormat="1" applyFont="1" applyAlignment="1">
      <alignment horizontal="right" wrapText="1"/>
    </xf>
    <xf numFmtId="164" fontId="8" fillId="17" borderId="12" xfId="2" applyNumberFormat="1" applyFont="1" applyFill="1" applyBorder="1" applyAlignment="1">
      <alignment horizontal="right"/>
    </xf>
    <xf numFmtId="164" fontId="8" fillId="17" borderId="12" xfId="0" applyNumberFormat="1" applyFont="1" applyFill="1" applyBorder="1" applyAlignment="1">
      <alignment horizontal="right" wrapText="1"/>
    </xf>
    <xf numFmtId="164" fontId="8" fillId="17" borderId="15" xfId="0" applyNumberFormat="1" applyFont="1" applyFill="1" applyBorder="1" applyAlignment="1">
      <alignment horizontal="right" wrapText="1"/>
    </xf>
    <xf numFmtId="164" fontId="0" fillId="0" borderId="0" xfId="0" applyNumberFormat="1" applyAlignment="1">
      <alignment horizontal="right" wrapText="1"/>
    </xf>
    <xf numFmtId="164" fontId="9" fillId="0" borderId="12" xfId="0" applyNumberFormat="1" applyFont="1" applyBorder="1" applyAlignment="1">
      <alignment horizontal="right" wrapText="1"/>
    </xf>
    <xf numFmtId="0" fontId="18" fillId="6" borderId="0" xfId="0" applyFont="1" applyFill="1" applyBorder="1" applyAlignment="1">
      <alignment horizontal="center"/>
    </xf>
    <xf numFmtId="0" fontId="7" fillId="6" borderId="0" xfId="0" applyFont="1" applyFill="1" applyBorder="1" applyAlignment="1">
      <alignment horizontal="center" wrapText="1"/>
    </xf>
    <xf numFmtId="164" fontId="6" fillId="12" borderId="0" xfId="0" applyNumberFormat="1" applyFont="1" applyFill="1" applyBorder="1" applyAlignment="1">
      <alignment horizontal="right" wrapText="1"/>
    </xf>
    <xf numFmtId="164" fontId="11" fillId="6" borderId="0" xfId="0" applyNumberFormat="1" applyFont="1" applyFill="1" applyBorder="1" applyAlignment="1">
      <alignment horizontal="right" wrapText="1"/>
    </xf>
    <xf numFmtId="0" fontId="7" fillId="3" borderId="24" xfId="0" applyFont="1" applyFill="1" applyBorder="1" applyAlignment="1">
      <alignment wrapText="1"/>
    </xf>
    <xf numFmtId="164" fontId="8" fillId="6" borderId="0" xfId="0" applyNumberFormat="1" applyFont="1" applyFill="1" applyBorder="1" applyAlignment="1">
      <alignment horizontal="right" wrapText="1"/>
    </xf>
    <xf numFmtId="0" fontId="18" fillId="17" borderId="0" xfId="0" applyFont="1" applyFill="1" applyBorder="1" applyAlignment="1"/>
    <xf numFmtId="164" fontId="9" fillId="20" borderId="9" xfId="0" applyNumberFormat="1" applyFont="1" applyFill="1" applyBorder="1" applyAlignment="1">
      <alignment horizontal="right" wrapText="1"/>
    </xf>
    <xf numFmtId="0" fontId="8" fillId="6" borderId="0" xfId="0" applyFont="1" applyFill="1" applyBorder="1" applyAlignment="1">
      <alignment horizontal="left" wrapText="1"/>
    </xf>
    <xf numFmtId="0" fontId="7" fillId="3" borderId="25" xfId="0" applyFont="1" applyFill="1" applyBorder="1" applyAlignment="1">
      <alignment wrapText="1"/>
    </xf>
    <xf numFmtId="164" fontId="6" fillId="19" borderId="17" xfId="0" applyNumberFormat="1" applyFont="1" applyFill="1" applyBorder="1" applyAlignment="1">
      <alignment horizontal="right" wrapText="1"/>
    </xf>
    <xf numFmtId="0" fontId="14" fillId="3" borderId="24" xfId="0" applyFont="1" applyFill="1" applyBorder="1" applyAlignment="1">
      <alignment wrapText="1"/>
    </xf>
    <xf numFmtId="0" fontId="7" fillId="4" borderId="24" xfId="0" applyFont="1" applyFill="1" applyBorder="1" applyAlignment="1">
      <alignment wrapText="1"/>
    </xf>
    <xf numFmtId="164" fontId="9" fillId="20" borderId="12" xfId="0" applyNumberFormat="1" applyFont="1" applyFill="1" applyBorder="1" applyAlignment="1">
      <alignment horizontal="right" wrapText="1"/>
    </xf>
    <xf numFmtId="0" fontId="9" fillId="20" borderId="0" xfId="0" applyFont="1" applyFill="1" applyAlignment="1">
      <alignment wrapText="1"/>
    </xf>
    <xf numFmtId="164" fontId="8" fillId="17" borderId="11" xfId="2" applyNumberFormat="1" applyFont="1" applyFill="1" applyBorder="1" applyAlignment="1">
      <alignment horizontal="right"/>
    </xf>
    <xf numFmtId="164" fontId="8" fillId="17" borderId="11" xfId="0" applyNumberFormat="1" applyFont="1" applyFill="1" applyBorder="1" applyAlignment="1">
      <alignment horizontal="right" wrapText="1"/>
    </xf>
    <xf numFmtId="164" fontId="8" fillId="17" borderId="14" xfId="0" applyNumberFormat="1" applyFont="1" applyFill="1" applyBorder="1" applyAlignment="1">
      <alignment horizontal="right" wrapText="1"/>
    </xf>
    <xf numFmtId="0" fontId="9" fillId="0" borderId="33" xfId="0" applyFont="1" applyBorder="1" applyAlignment="1">
      <alignment wrapText="1"/>
    </xf>
    <xf numFmtId="164" fontId="8" fillId="14" borderId="1" xfId="0" applyNumberFormat="1" applyFont="1" applyFill="1" applyBorder="1" applyAlignment="1">
      <alignment horizontal="right" wrapText="1"/>
    </xf>
    <xf numFmtId="164" fontId="8" fillId="14" borderId="4" xfId="0" applyNumberFormat="1" applyFont="1" applyFill="1" applyBorder="1" applyAlignment="1">
      <alignment horizontal="right" wrapText="1"/>
    </xf>
    <xf numFmtId="164" fontId="9" fillId="0" borderId="8" xfId="0" applyNumberFormat="1" applyFont="1" applyFill="1" applyBorder="1" applyAlignment="1">
      <alignment horizontal="right" wrapText="1"/>
    </xf>
    <xf numFmtId="164" fontId="9" fillId="0" borderId="11" xfId="0" applyNumberFormat="1" applyFont="1" applyFill="1" applyBorder="1" applyAlignment="1">
      <alignment horizontal="right" wrapText="1"/>
    </xf>
    <xf numFmtId="164" fontId="9" fillId="0" borderId="13" xfId="0" applyNumberFormat="1" applyFont="1" applyFill="1" applyBorder="1" applyAlignment="1">
      <alignment horizontal="right" wrapText="1"/>
    </xf>
    <xf numFmtId="164" fontId="6" fillId="5" borderId="11" xfId="0" applyNumberFormat="1" applyFont="1" applyFill="1" applyBorder="1" applyAlignment="1">
      <alignment horizontal="right" wrapText="1"/>
    </xf>
    <xf numFmtId="0" fontId="8" fillId="14" borderId="34" xfId="0" applyFont="1" applyFill="1" applyBorder="1" applyAlignment="1">
      <alignment wrapText="1"/>
    </xf>
    <xf numFmtId="164" fontId="8" fillId="14" borderId="34" xfId="0" applyNumberFormat="1" applyFont="1" applyFill="1" applyBorder="1" applyAlignment="1">
      <alignment horizontal="right" wrapText="1"/>
    </xf>
    <xf numFmtId="0" fontId="8" fillId="14" borderId="35" xfId="0" applyFont="1" applyFill="1" applyBorder="1" applyAlignment="1">
      <alignment wrapText="1"/>
    </xf>
    <xf numFmtId="0" fontId="9" fillId="0" borderId="7" xfId="0" applyFont="1" applyFill="1" applyBorder="1" applyAlignment="1">
      <alignment wrapText="1"/>
    </xf>
    <xf numFmtId="0" fontId="9" fillId="0" borderId="7" xfId="0" applyFont="1" applyBorder="1" applyAlignment="1">
      <alignment wrapText="1"/>
    </xf>
    <xf numFmtId="0" fontId="6" fillId="5" borderId="30" xfId="0" applyFont="1" applyFill="1" applyBorder="1" applyAlignment="1">
      <alignment wrapText="1"/>
    </xf>
    <xf numFmtId="0" fontId="6" fillId="5" borderId="31" xfId="0" applyFont="1" applyFill="1" applyBorder="1" applyAlignment="1">
      <alignment wrapText="1"/>
    </xf>
    <xf numFmtId="164" fontId="8" fillId="14" borderId="36" xfId="0" applyNumberFormat="1" applyFont="1" applyFill="1" applyBorder="1" applyAlignment="1">
      <alignment horizontal="right" wrapText="1"/>
    </xf>
    <xf numFmtId="164" fontId="8" fillId="14" borderId="37" xfId="0" applyNumberFormat="1" applyFont="1" applyFill="1" applyBorder="1" applyAlignment="1">
      <alignment horizontal="right" wrapText="1"/>
    </xf>
    <xf numFmtId="164" fontId="6" fillId="5" borderId="20" xfId="0" applyNumberFormat="1" applyFont="1" applyFill="1" applyBorder="1" applyAlignment="1">
      <alignment horizontal="right" wrapText="1"/>
    </xf>
    <xf numFmtId="164" fontId="6" fillId="5" borderId="14" xfId="0" applyNumberFormat="1" applyFont="1" applyFill="1" applyBorder="1" applyAlignment="1">
      <alignment horizontal="right" wrapText="1"/>
    </xf>
    <xf numFmtId="0" fontId="9" fillId="0" borderId="29" xfId="0" applyFont="1" applyFill="1" applyBorder="1" applyAlignment="1">
      <alignment wrapText="1"/>
    </xf>
    <xf numFmtId="0" fontId="9" fillId="0" borderId="30" xfId="0" applyFont="1" applyFill="1" applyBorder="1" applyAlignment="1">
      <alignment wrapText="1"/>
    </xf>
    <xf numFmtId="0" fontId="6" fillId="5" borderId="38" xfId="0" applyFont="1" applyFill="1" applyBorder="1" applyAlignment="1">
      <alignment wrapText="1"/>
    </xf>
    <xf numFmtId="0" fontId="9" fillId="0" borderId="32" xfId="0" applyFont="1" applyBorder="1" applyAlignment="1">
      <alignment wrapText="1"/>
    </xf>
    <xf numFmtId="0" fontId="6" fillId="8" borderId="38" xfId="0" applyFont="1" applyFill="1" applyBorder="1" applyAlignment="1">
      <alignment wrapText="1"/>
    </xf>
    <xf numFmtId="0" fontId="6" fillId="8" borderId="30" xfId="0" applyFont="1" applyFill="1" applyBorder="1" applyAlignment="1">
      <alignment wrapText="1"/>
    </xf>
    <xf numFmtId="164" fontId="6" fillId="8" borderId="20" xfId="0" applyNumberFormat="1" applyFont="1" applyFill="1" applyBorder="1" applyAlignment="1">
      <alignment horizontal="right" wrapText="1"/>
    </xf>
    <xf numFmtId="164" fontId="6" fillId="8" borderId="11" xfId="1" applyNumberFormat="1" applyFont="1" applyFill="1" applyBorder="1" applyAlignment="1">
      <alignment horizontal="right" wrapText="1"/>
    </xf>
    <xf numFmtId="164" fontId="10" fillId="4" borderId="11" xfId="0" applyNumberFormat="1" applyFont="1" applyFill="1" applyBorder="1" applyAlignment="1">
      <alignment horizontal="right" wrapText="1"/>
    </xf>
    <xf numFmtId="164" fontId="6" fillId="8" borderId="14" xfId="1" applyNumberFormat="1" applyFont="1" applyFill="1" applyBorder="1" applyAlignment="1">
      <alignment horizontal="right" wrapText="1"/>
    </xf>
    <xf numFmtId="164" fontId="9" fillId="6" borderId="0" xfId="0" applyNumberFormat="1" applyFont="1" applyFill="1" applyBorder="1" applyAlignment="1">
      <alignment horizontal="right" wrapText="1"/>
    </xf>
    <xf numFmtId="0" fontId="8" fillId="14" borderId="36" xfId="0" applyFont="1" applyFill="1" applyBorder="1" applyAlignment="1">
      <alignment wrapText="1"/>
    </xf>
    <xf numFmtId="164" fontId="8" fillId="14" borderId="40" xfId="0" applyNumberFormat="1" applyFont="1" applyFill="1" applyBorder="1" applyAlignment="1">
      <alignment horizontal="right" wrapText="1"/>
    </xf>
    <xf numFmtId="0" fontId="6" fillId="10" borderId="38" xfId="0" applyFont="1" applyFill="1" applyBorder="1" applyAlignment="1">
      <alignment wrapText="1"/>
    </xf>
    <xf numFmtId="0" fontId="6" fillId="10" borderId="30" xfId="0" applyFont="1" applyFill="1" applyBorder="1" applyAlignment="1">
      <alignment wrapText="1"/>
    </xf>
    <xf numFmtId="0" fontId="6" fillId="10" borderId="31" xfId="0" applyFont="1" applyFill="1" applyBorder="1" applyAlignment="1">
      <alignment wrapText="1"/>
    </xf>
    <xf numFmtId="164" fontId="6" fillId="0" borderId="11" xfId="0" applyNumberFormat="1" applyFont="1" applyFill="1" applyBorder="1" applyAlignment="1">
      <alignment horizontal="right" wrapText="1"/>
    </xf>
    <xf numFmtId="164" fontId="6" fillId="10" borderId="20" xfId="0" applyNumberFormat="1" applyFont="1" applyFill="1" applyBorder="1" applyAlignment="1">
      <alignment horizontal="right" wrapText="1"/>
    </xf>
    <xf numFmtId="164" fontId="6" fillId="10" borderId="11" xfId="0" applyNumberFormat="1" applyFont="1" applyFill="1" applyBorder="1" applyAlignment="1">
      <alignment horizontal="right" wrapText="1"/>
    </xf>
    <xf numFmtId="164" fontId="6" fillId="10" borderId="14" xfId="0" applyNumberFormat="1" applyFont="1" applyFill="1" applyBorder="1" applyAlignment="1">
      <alignment horizontal="right" wrapText="1"/>
    </xf>
    <xf numFmtId="0" fontId="6" fillId="13" borderId="30" xfId="0" applyFont="1" applyFill="1" applyBorder="1" applyAlignment="1">
      <alignment wrapText="1"/>
    </xf>
    <xf numFmtId="164" fontId="11" fillId="0" borderId="11" xfId="0" applyNumberFormat="1" applyFont="1" applyBorder="1" applyAlignment="1">
      <alignment horizontal="right" wrapText="1"/>
    </xf>
    <xf numFmtId="164" fontId="11" fillId="0" borderId="13" xfId="0" applyNumberFormat="1" applyFont="1" applyBorder="1" applyAlignment="1">
      <alignment horizontal="right" wrapText="1"/>
    </xf>
    <xf numFmtId="164" fontId="11" fillId="0" borderId="5" xfId="0" applyNumberFormat="1" applyFont="1" applyBorder="1" applyAlignment="1">
      <alignment horizontal="right" wrapText="1"/>
    </xf>
    <xf numFmtId="164" fontId="11" fillId="0" borderId="13" xfId="0" applyNumberFormat="1" applyFont="1" applyFill="1" applyBorder="1" applyAlignment="1">
      <alignment horizontal="right" wrapText="1"/>
    </xf>
    <xf numFmtId="164" fontId="6" fillId="11" borderId="20" xfId="0" applyNumberFormat="1" applyFont="1" applyFill="1" applyBorder="1" applyAlignment="1">
      <alignment horizontal="right" wrapText="1"/>
    </xf>
    <xf numFmtId="164" fontId="6" fillId="11" borderId="11" xfId="0" applyNumberFormat="1" applyFont="1" applyFill="1" applyBorder="1" applyAlignment="1">
      <alignment horizontal="right" wrapText="1"/>
    </xf>
    <xf numFmtId="164" fontId="6" fillId="11" borderId="14" xfId="0" applyNumberFormat="1" applyFont="1" applyFill="1" applyBorder="1" applyAlignment="1">
      <alignment horizontal="right" wrapText="1"/>
    </xf>
    <xf numFmtId="0" fontId="0" fillId="0" borderId="26" xfId="0" applyBorder="1"/>
    <xf numFmtId="0" fontId="0" fillId="21" borderId="26" xfId="0" applyFill="1" applyBorder="1"/>
    <xf numFmtId="164" fontId="6" fillId="5" borderId="21" xfId="0" applyNumberFormat="1" applyFont="1" applyFill="1" applyBorder="1" applyAlignment="1">
      <alignment horizontal="right" wrapText="1"/>
    </xf>
    <xf numFmtId="0" fontId="7" fillId="3" borderId="3" xfId="0" applyFont="1" applyFill="1" applyBorder="1" applyAlignment="1">
      <alignment wrapText="1"/>
    </xf>
    <xf numFmtId="0" fontId="6" fillId="5" borderId="23" xfId="0" applyFont="1" applyFill="1" applyBorder="1" applyAlignment="1">
      <alignment wrapText="1"/>
    </xf>
    <xf numFmtId="164" fontId="8" fillId="14" borderId="36" xfId="0" applyNumberFormat="1" applyFont="1" applyFill="1" applyBorder="1" applyAlignment="1">
      <alignment horizontal="right" vertical="center" wrapText="1"/>
    </xf>
    <xf numFmtId="164" fontId="8" fillId="14" borderId="34" xfId="0" applyNumberFormat="1" applyFont="1" applyFill="1" applyBorder="1" applyAlignment="1">
      <alignment horizontal="right" vertical="center" wrapText="1"/>
    </xf>
    <xf numFmtId="164" fontId="11" fillId="0" borderId="12" xfId="2" applyNumberFormat="1" applyFont="1" applyBorder="1" applyAlignment="1">
      <alignment horizontal="right"/>
    </xf>
    <xf numFmtId="164" fontId="11" fillId="20" borderId="12" xfId="2" applyNumberFormat="1" applyFont="1" applyFill="1" applyBorder="1" applyAlignment="1">
      <alignment horizontal="right"/>
    </xf>
    <xf numFmtId="0" fontId="8" fillId="17" borderId="7" xfId="0" applyFont="1" applyFill="1" applyBorder="1" applyAlignment="1">
      <alignment horizontal="left" wrapText="1"/>
    </xf>
    <xf numFmtId="164" fontId="11" fillId="0" borderId="11" xfId="2" applyNumberFormat="1" applyFont="1" applyBorder="1" applyAlignment="1">
      <alignment horizontal="right"/>
    </xf>
    <xf numFmtId="0" fontId="8" fillId="14" borderId="18" xfId="0" applyFont="1" applyFill="1" applyBorder="1" applyAlignment="1">
      <alignment vertical="center" wrapText="1"/>
    </xf>
    <xf numFmtId="164" fontId="20" fillId="20" borderId="15" xfId="0" applyNumberFormat="1" applyFont="1" applyFill="1" applyBorder="1" applyAlignment="1">
      <alignment horizontal="right" wrapText="1"/>
    </xf>
    <xf numFmtId="164" fontId="6" fillId="12" borderId="39" xfId="1" applyNumberFormat="1" applyFont="1" applyFill="1" applyBorder="1" applyAlignment="1">
      <alignment horizontal="right" wrapText="1"/>
    </xf>
    <xf numFmtId="164" fontId="11" fillId="0" borderId="18" xfId="0" applyNumberFormat="1" applyFont="1" applyBorder="1" applyAlignment="1">
      <alignment horizontal="right" wrapText="1"/>
    </xf>
    <xf numFmtId="164" fontId="8" fillId="6" borderId="0" xfId="0" applyNumberFormat="1" applyFont="1" applyFill="1" applyBorder="1" applyAlignment="1">
      <alignment horizontal="right" vertical="center" wrapText="1"/>
    </xf>
    <xf numFmtId="164" fontId="0" fillId="6" borderId="0" xfId="0" applyNumberFormat="1" applyFill="1" applyBorder="1" applyAlignment="1">
      <alignment horizontal="right" wrapText="1"/>
    </xf>
    <xf numFmtId="164" fontId="6" fillId="6" borderId="0" xfId="0" applyNumberFormat="1" applyFont="1" applyFill="1" applyBorder="1" applyAlignment="1">
      <alignment horizontal="right" wrapText="1"/>
    </xf>
    <xf numFmtId="164" fontId="8" fillId="14" borderId="20" xfId="0" applyNumberFormat="1" applyFont="1" applyFill="1" applyBorder="1" applyAlignment="1">
      <alignment horizontal="right" vertical="center" wrapText="1"/>
    </xf>
    <xf numFmtId="164" fontId="8" fillId="14" borderId="17" xfId="0" applyNumberFormat="1" applyFont="1" applyFill="1" applyBorder="1" applyAlignment="1">
      <alignment horizontal="right" vertical="center" wrapText="1"/>
    </xf>
    <xf numFmtId="0" fontId="5" fillId="16" borderId="0" xfId="0" applyFont="1" applyFill="1"/>
    <xf numFmtId="0" fontId="5" fillId="16" borderId="0" xfId="0" applyFont="1" applyFill="1" applyAlignment="1">
      <alignment wrapText="1"/>
    </xf>
    <xf numFmtId="0" fontId="5" fillId="6" borderId="0" xfId="0" applyFont="1" applyFill="1"/>
    <xf numFmtId="165" fontId="0" fillId="0" borderId="26" xfId="0" applyNumberFormat="1" applyBorder="1"/>
    <xf numFmtId="0" fontId="0" fillId="0" borderId="26" xfId="0" applyBorder="1" applyAlignment="1">
      <alignment wrapText="1"/>
    </xf>
    <xf numFmtId="165" fontId="0" fillId="0" borderId="26" xfId="2" applyNumberFormat="1" applyFont="1" applyBorder="1"/>
    <xf numFmtId="0" fontId="0" fillId="0" borderId="0" xfId="0" applyFont="1" applyFill="1"/>
    <xf numFmtId="0" fontId="0" fillId="0" borderId="26" xfId="0" applyFont="1" applyFill="1" applyBorder="1"/>
    <xf numFmtId="44" fontId="0" fillId="0" borderId="26" xfId="0" applyNumberFormat="1" applyFont="1" applyFill="1" applyBorder="1"/>
    <xf numFmtId="0" fontId="0" fillId="0" borderId="26" xfId="0" applyFont="1" applyFill="1" applyBorder="1" applyAlignment="1">
      <alignment wrapText="1"/>
    </xf>
    <xf numFmtId="6" fontId="22" fillId="0" borderId="26" xfId="0" applyNumberFormat="1" applyFont="1" applyFill="1" applyBorder="1" applyAlignment="1">
      <alignment wrapText="1"/>
    </xf>
    <xf numFmtId="165" fontId="0" fillId="21" borderId="26" xfId="0" applyNumberFormat="1" applyFill="1" applyBorder="1"/>
    <xf numFmtId="164" fontId="11" fillId="20" borderId="12" xfId="0" applyNumberFormat="1" applyFont="1" applyFill="1" applyBorder="1" applyAlignment="1">
      <alignment horizontal="right" wrapText="1"/>
    </xf>
    <xf numFmtId="0" fontId="11" fillId="20" borderId="12" xfId="0" applyFont="1" applyFill="1" applyBorder="1"/>
    <xf numFmtId="0" fontId="0" fillId="0" borderId="11" xfId="0" applyFill="1" applyBorder="1" applyAlignment="1">
      <alignment wrapText="1"/>
    </xf>
    <xf numFmtId="0" fontId="12" fillId="0" borderId="7" xfId="0" applyFont="1" applyFill="1" applyBorder="1" applyAlignment="1">
      <alignment wrapText="1"/>
    </xf>
    <xf numFmtId="0" fontId="18" fillId="17" borderId="0" xfId="0" applyFont="1" applyFill="1" applyBorder="1" applyAlignment="1">
      <alignment wrapText="1"/>
    </xf>
    <xf numFmtId="0" fontId="11" fillId="0" borderId="7" xfId="0" applyFont="1" applyBorder="1" applyAlignment="1">
      <alignment wrapText="1"/>
    </xf>
    <xf numFmtId="0" fontId="11" fillId="0" borderId="7" xfId="0" applyFont="1" applyFill="1" applyBorder="1" applyAlignment="1">
      <alignment wrapText="1"/>
    </xf>
    <xf numFmtId="0" fontId="11" fillId="20" borderId="7" xfId="0" applyFont="1" applyFill="1" applyBorder="1" applyAlignment="1">
      <alignment wrapText="1"/>
    </xf>
    <xf numFmtId="0" fontId="6" fillId="13" borderId="38" xfId="0" applyFont="1" applyFill="1" applyBorder="1" applyAlignment="1">
      <alignment wrapText="1"/>
    </xf>
    <xf numFmtId="0" fontId="6" fillId="13" borderId="31" xfId="0" applyFont="1" applyFill="1" applyBorder="1" applyAlignment="1">
      <alignment wrapText="1"/>
    </xf>
    <xf numFmtId="0" fontId="9" fillId="20" borderId="12" xfId="0" applyFont="1" applyFill="1" applyBorder="1" applyAlignment="1">
      <alignment wrapText="1"/>
    </xf>
    <xf numFmtId="0" fontId="9" fillId="20" borderId="7" xfId="0" applyFont="1" applyFill="1" applyBorder="1" applyAlignment="1">
      <alignment wrapText="1"/>
    </xf>
    <xf numFmtId="0" fontId="9" fillId="20" borderId="30" xfId="0" applyFont="1" applyFill="1" applyBorder="1" applyAlignment="1">
      <alignment wrapText="1"/>
    </xf>
    <xf numFmtId="0" fontId="9" fillId="0" borderId="38" xfId="0" applyFont="1" applyFill="1" applyBorder="1" applyAlignment="1">
      <alignment wrapText="1"/>
    </xf>
    <xf numFmtId="164" fontId="9" fillId="0" borderId="41" xfId="0" applyNumberFormat="1" applyFont="1" applyFill="1" applyBorder="1" applyAlignment="1">
      <alignment horizontal="right" wrapText="1"/>
    </xf>
    <xf numFmtId="164" fontId="9" fillId="0" borderId="19" xfId="0" applyNumberFormat="1" applyFont="1" applyFill="1" applyBorder="1" applyAlignment="1">
      <alignment horizontal="right" wrapText="1"/>
    </xf>
    <xf numFmtId="0" fontId="9" fillId="0" borderId="41" xfId="0" applyFont="1" applyBorder="1" applyAlignment="1">
      <alignment wrapText="1"/>
    </xf>
    <xf numFmtId="0" fontId="9" fillId="0" borderId="42" xfId="0" applyFont="1" applyBorder="1" applyAlignment="1">
      <alignment wrapText="1"/>
    </xf>
    <xf numFmtId="0" fontId="9" fillId="0" borderId="12" xfId="0" applyFont="1" applyBorder="1" applyAlignment="1">
      <alignment wrapText="1"/>
    </xf>
    <xf numFmtId="164" fontId="9" fillId="6" borderId="43" xfId="0" applyNumberFormat="1" applyFont="1" applyFill="1" applyBorder="1" applyAlignment="1">
      <alignment horizontal="right" wrapText="1"/>
    </xf>
    <xf numFmtId="0" fontId="6" fillId="5" borderId="45" xfId="0" applyFont="1" applyFill="1" applyBorder="1" applyAlignment="1">
      <alignment wrapText="1"/>
    </xf>
    <xf numFmtId="164" fontId="6" fillId="5" borderId="41" xfId="0" applyNumberFormat="1" applyFont="1" applyFill="1" applyBorder="1" applyAlignment="1">
      <alignment horizontal="right" wrapText="1"/>
    </xf>
    <xf numFmtId="164" fontId="6" fillId="5" borderId="19" xfId="0" applyNumberFormat="1" applyFont="1" applyFill="1" applyBorder="1" applyAlignment="1">
      <alignment horizontal="right" wrapText="1"/>
    </xf>
    <xf numFmtId="164" fontId="6" fillId="5" borderId="22" xfId="0" applyNumberFormat="1" applyFont="1" applyFill="1" applyBorder="1" applyAlignment="1">
      <alignment horizontal="right" wrapText="1"/>
    </xf>
    <xf numFmtId="164" fontId="2" fillId="12" borderId="44" xfId="0" applyNumberFormat="1" applyFont="1" applyFill="1" applyBorder="1" applyAlignment="1">
      <alignment horizontal="right" wrapText="1"/>
    </xf>
    <xf numFmtId="164" fontId="2" fillId="12" borderId="28" xfId="0" applyNumberFormat="1" applyFont="1" applyFill="1" applyBorder="1" applyAlignment="1">
      <alignment horizontal="right" wrapText="1"/>
    </xf>
    <xf numFmtId="164" fontId="6" fillId="5" borderId="11" xfId="1" applyNumberFormat="1" applyFont="1" applyFill="1" applyBorder="1" applyAlignment="1">
      <alignment horizontal="right" wrapText="1"/>
    </xf>
    <xf numFmtId="164" fontId="6" fillId="5" borderId="14" xfId="1" applyNumberFormat="1" applyFont="1" applyFill="1" applyBorder="1" applyAlignment="1">
      <alignment horizontal="right" wrapText="1"/>
    </xf>
    <xf numFmtId="44" fontId="0" fillId="3" borderId="14" xfId="0" applyNumberFormat="1" applyFill="1" applyBorder="1" applyAlignment="1">
      <alignment wrapText="1"/>
    </xf>
    <xf numFmtId="44" fontId="0" fillId="3" borderId="15" xfId="0" applyNumberFormat="1" applyFill="1" applyBorder="1" applyAlignment="1">
      <alignment wrapText="1"/>
    </xf>
    <xf numFmtId="44" fontId="0" fillId="3" borderId="16" xfId="0" applyNumberFormat="1" applyFill="1" applyBorder="1" applyAlignment="1">
      <alignment wrapText="1"/>
    </xf>
    <xf numFmtId="0" fontId="15" fillId="6" borderId="0" xfId="0" applyFont="1" applyFill="1" applyBorder="1" applyAlignment="1">
      <alignment wrapText="1"/>
    </xf>
    <xf numFmtId="0" fontId="15" fillId="6" borderId="0" xfId="0" applyFont="1" applyFill="1" applyAlignment="1">
      <alignment wrapText="1"/>
    </xf>
    <xf numFmtId="0" fontId="11" fillId="15" borderId="0" xfId="0" applyFont="1" applyFill="1" applyAlignment="1">
      <alignment wrapText="1"/>
    </xf>
    <xf numFmtId="164" fontId="11" fillId="15" borderId="0" xfId="0" applyNumberFormat="1" applyFont="1" applyFill="1" applyAlignment="1">
      <alignment horizontal="right" wrapText="1"/>
    </xf>
    <xf numFmtId="164" fontId="11" fillId="15" borderId="0" xfId="0" applyNumberFormat="1" applyFont="1" applyFill="1" applyBorder="1" applyAlignment="1">
      <alignment horizontal="right" wrapText="1"/>
    </xf>
    <xf numFmtId="0" fontId="0" fillId="15" borderId="0" xfId="0" applyFill="1" applyAlignment="1">
      <alignment wrapText="1"/>
    </xf>
    <xf numFmtId="164" fontId="0" fillId="15" borderId="0" xfId="0" applyNumberFormat="1" applyFill="1" applyAlignment="1">
      <alignment horizontal="right" wrapText="1"/>
    </xf>
    <xf numFmtId="164" fontId="0" fillId="15" borderId="0" xfId="0" applyNumberFormat="1" applyFill="1" applyBorder="1" applyAlignment="1">
      <alignment horizontal="right" wrapText="1"/>
    </xf>
    <xf numFmtId="0" fontId="23" fillId="22" borderId="0" xfId="0" applyFont="1" applyFill="1" applyAlignment="1">
      <alignment wrapText="1"/>
    </xf>
    <xf numFmtId="0" fontId="24" fillId="0" borderId="0" xfId="0" applyFont="1" applyAlignment="1">
      <alignment wrapText="1"/>
    </xf>
    <xf numFmtId="0" fontId="9" fillId="0" borderId="46" xfId="0" applyFont="1" applyBorder="1" applyAlignment="1">
      <alignment wrapText="1"/>
    </xf>
    <xf numFmtId="0" fontId="9" fillId="0" borderId="47" xfId="0" applyFont="1" applyBorder="1" applyAlignment="1">
      <alignment wrapText="1"/>
    </xf>
    <xf numFmtId="0" fontId="11" fillId="0" borderId="48" xfId="0" applyFont="1" applyBorder="1" applyAlignment="1">
      <alignment wrapText="1"/>
    </xf>
    <xf numFmtId="0" fontId="9" fillId="0" borderId="49" xfId="0" applyFont="1" applyBorder="1" applyAlignment="1">
      <alignment wrapText="1"/>
    </xf>
    <xf numFmtId="0" fontId="9" fillId="0" borderId="50" xfId="0" applyFont="1" applyBorder="1" applyAlignment="1">
      <alignment wrapText="1"/>
    </xf>
    <xf numFmtId="0" fontId="11" fillId="0" borderId="51" xfId="0" applyFont="1" applyBorder="1" applyAlignment="1">
      <alignment wrapText="1"/>
    </xf>
    <xf numFmtId="0" fontId="9" fillId="15" borderId="49" xfId="0" applyFont="1" applyFill="1" applyBorder="1" applyAlignment="1">
      <alignment wrapText="1"/>
    </xf>
    <xf numFmtId="0" fontId="24" fillId="0" borderId="50" xfId="0" applyFont="1" applyBorder="1" applyAlignment="1">
      <alignment wrapText="1"/>
    </xf>
    <xf numFmtId="0" fontId="24" fillId="0" borderId="50" xfId="0" applyFont="1" applyBorder="1"/>
    <xf numFmtId="0" fontId="15" fillId="15" borderId="49" xfId="0" applyFont="1" applyFill="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11" fillId="0" borderId="54" xfId="0" applyFont="1" applyBorder="1" applyAlignment="1">
      <alignment wrapText="1"/>
    </xf>
    <xf numFmtId="0" fontId="9" fillId="0" borderId="55" xfId="0" applyFont="1" applyFill="1" applyBorder="1" applyAlignment="1">
      <alignment wrapText="1"/>
    </xf>
    <xf numFmtId="0" fontId="9" fillId="0" borderId="56" xfId="0" applyFont="1" applyFill="1" applyBorder="1" applyAlignment="1">
      <alignment wrapText="1"/>
    </xf>
    <xf numFmtId="0" fontId="9" fillId="0" borderId="57" xfId="0" applyFont="1" applyBorder="1" applyAlignment="1">
      <alignment wrapText="1"/>
    </xf>
    <xf numFmtId="0" fontId="9" fillId="0" borderId="58" xfId="0" applyFont="1" applyBorder="1" applyAlignment="1">
      <alignment wrapText="1"/>
    </xf>
    <xf numFmtId="0" fontId="9" fillId="0" borderId="49" xfId="0" applyFont="1" applyFill="1" applyBorder="1" applyAlignment="1">
      <alignment wrapText="1"/>
    </xf>
    <xf numFmtId="0" fontId="9" fillId="0" borderId="50" xfId="0" applyFont="1" applyFill="1" applyBorder="1" applyAlignment="1">
      <alignment wrapText="1"/>
    </xf>
    <xf numFmtId="0" fontId="9" fillId="0" borderId="52" xfId="0" applyFont="1" applyFill="1" applyBorder="1" applyAlignment="1">
      <alignment wrapText="1"/>
    </xf>
    <xf numFmtId="0" fontId="9" fillId="0" borderId="53" xfId="0" applyFont="1" applyFill="1" applyBorder="1" applyAlignment="1">
      <alignment wrapText="1"/>
    </xf>
    <xf numFmtId="0" fontId="9" fillId="0" borderId="59" xfId="0" applyFont="1" applyBorder="1" applyAlignment="1">
      <alignment wrapText="1"/>
    </xf>
    <xf numFmtId="0" fontId="9" fillId="0" borderId="46" xfId="0" applyFont="1" applyFill="1" applyBorder="1" applyAlignment="1">
      <alignment wrapText="1"/>
    </xf>
    <xf numFmtId="0" fontId="11" fillId="0" borderId="47" xfId="0" applyFont="1" applyFill="1" applyBorder="1" applyAlignment="1">
      <alignment wrapText="1"/>
    </xf>
    <xf numFmtId="0" fontId="11" fillId="0" borderId="50" xfId="0" applyFont="1" applyBorder="1" applyAlignment="1">
      <alignment wrapText="1"/>
    </xf>
    <xf numFmtId="0" fontId="11" fillId="0" borderId="50" xfId="0" applyFont="1" applyFill="1" applyBorder="1" applyAlignment="1">
      <alignment wrapText="1"/>
    </xf>
    <xf numFmtId="0" fontId="4" fillId="0" borderId="51" xfId="0" applyFont="1" applyFill="1" applyBorder="1" applyAlignment="1">
      <alignment wrapText="1"/>
    </xf>
    <xf numFmtId="0" fontId="11" fillId="0" borderId="53" xfId="0" applyFont="1" applyFill="1" applyBorder="1" applyAlignment="1">
      <alignment wrapText="1"/>
    </xf>
    <xf numFmtId="0" fontId="4" fillId="0" borderId="54" xfId="0" applyFont="1" applyFill="1" applyBorder="1" applyAlignment="1">
      <alignment wrapText="1"/>
    </xf>
    <xf numFmtId="0" fontId="11" fillId="0" borderId="60" xfId="0" applyFont="1" applyBorder="1" applyAlignment="1">
      <alignment wrapText="1"/>
    </xf>
    <xf numFmtId="0" fontId="0" fillId="0" borderId="61" xfId="0" applyBorder="1" applyAlignment="1">
      <alignment wrapText="1"/>
    </xf>
    <xf numFmtId="0" fontId="0" fillId="0" borderId="62" xfId="0" applyBorder="1" applyAlignment="1">
      <alignment wrapText="1"/>
    </xf>
    <xf numFmtId="0" fontId="11" fillId="0" borderId="46" xfId="0" applyFont="1" applyBorder="1" applyAlignment="1">
      <alignment wrapText="1"/>
    </xf>
    <xf numFmtId="0" fontId="11" fillId="0" borderId="63" xfId="0" applyFont="1" applyBorder="1" applyAlignment="1">
      <alignment wrapText="1"/>
    </xf>
    <xf numFmtId="0" fontId="11" fillId="0" borderId="49" xfId="0" applyFont="1"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11" fillId="15" borderId="50" xfId="0" applyFont="1" applyFill="1" applyBorder="1" applyAlignment="1">
      <alignment wrapText="1"/>
    </xf>
    <xf numFmtId="0" fontId="1" fillId="0" borderId="64" xfId="0" applyFont="1" applyBorder="1" applyAlignment="1">
      <alignment vertical="center" wrapText="1"/>
    </xf>
    <xf numFmtId="0" fontId="1" fillId="0" borderId="50" xfId="0" applyFont="1" applyBorder="1" applyAlignment="1">
      <alignment vertical="center" wrapText="1"/>
    </xf>
    <xf numFmtId="0" fontId="11" fillId="0" borderId="50" xfId="0" applyFont="1" applyBorder="1" applyAlignment="1">
      <alignment horizontal="left" wrapText="1"/>
    </xf>
    <xf numFmtId="0" fontId="11" fillId="0" borderId="53" xfId="0" applyFont="1" applyBorder="1" applyAlignment="1">
      <alignment wrapText="1"/>
    </xf>
    <xf numFmtId="0" fontId="9" fillId="23" borderId="49" xfId="0" applyFont="1" applyFill="1" applyBorder="1" applyAlignment="1">
      <alignment wrapText="1"/>
    </xf>
    <xf numFmtId="0" fontId="11" fillId="0" borderId="56" xfId="0" applyFont="1" applyBorder="1" applyAlignment="1">
      <alignment wrapText="1"/>
    </xf>
    <xf numFmtId="0" fontId="11" fillId="23" borderId="50" xfId="0" applyFont="1" applyFill="1" applyBorder="1" applyAlignment="1">
      <alignment wrapText="1"/>
    </xf>
    <xf numFmtId="0" fontId="11" fillId="23" borderId="51" xfId="0" applyFont="1" applyFill="1" applyBorder="1" applyAlignment="1">
      <alignment wrapText="1"/>
    </xf>
    <xf numFmtId="164" fontId="8" fillId="14" borderId="68" xfId="0" applyNumberFormat="1" applyFont="1" applyFill="1" applyBorder="1" applyAlignment="1">
      <alignment horizontal="right" wrapText="1"/>
    </xf>
    <xf numFmtId="164" fontId="9" fillId="0" borderId="69" xfId="0" applyNumberFormat="1" applyFont="1" applyFill="1" applyBorder="1" applyAlignment="1">
      <alignment horizontal="right" wrapText="1"/>
    </xf>
    <xf numFmtId="164" fontId="9" fillId="0" borderId="70" xfId="0" applyNumberFormat="1" applyFont="1" applyFill="1" applyBorder="1" applyAlignment="1">
      <alignment horizontal="right" wrapText="1"/>
    </xf>
    <xf numFmtId="164" fontId="6" fillId="0" borderId="69" xfId="0" applyNumberFormat="1" applyFont="1" applyFill="1" applyBorder="1" applyAlignment="1">
      <alignment horizontal="right" wrapText="1"/>
    </xf>
    <xf numFmtId="164" fontId="6" fillId="10" borderId="71" xfId="0" applyNumberFormat="1" applyFont="1" applyFill="1" applyBorder="1" applyAlignment="1">
      <alignment horizontal="right" wrapText="1"/>
    </xf>
    <xf numFmtId="164" fontId="6" fillId="10" borderId="72" xfId="0" applyNumberFormat="1" applyFont="1" applyFill="1" applyBorder="1" applyAlignment="1">
      <alignment horizontal="right" wrapText="1"/>
    </xf>
    <xf numFmtId="164" fontId="6" fillId="10" borderId="69" xfId="0" applyNumberFormat="1" applyFont="1" applyFill="1" applyBorder="1" applyAlignment="1">
      <alignment horizontal="right" wrapText="1"/>
    </xf>
    <xf numFmtId="164" fontId="6" fillId="10" borderId="70" xfId="0" applyNumberFormat="1" applyFont="1" applyFill="1" applyBorder="1" applyAlignment="1">
      <alignment horizontal="right" wrapText="1"/>
    </xf>
    <xf numFmtId="164" fontId="6" fillId="10" borderId="73" xfId="0" applyNumberFormat="1" applyFont="1" applyFill="1" applyBorder="1" applyAlignment="1">
      <alignment horizontal="right" wrapText="1"/>
    </xf>
    <xf numFmtId="164" fontId="6" fillId="10" borderId="74" xfId="0" applyNumberFormat="1" applyFont="1" applyFill="1" applyBorder="1" applyAlignment="1">
      <alignment horizontal="right" wrapText="1"/>
    </xf>
    <xf numFmtId="164" fontId="6" fillId="10" borderId="75" xfId="0" applyNumberFormat="1" applyFont="1" applyFill="1" applyBorder="1" applyAlignment="1">
      <alignment horizontal="right" wrapText="1"/>
    </xf>
    <xf numFmtId="0" fontId="11" fillId="0" borderId="76" xfId="0" applyFont="1" applyBorder="1" applyAlignment="1">
      <alignment wrapText="1"/>
    </xf>
    <xf numFmtId="0" fontId="11" fillId="0" borderId="47" xfId="0" applyFont="1" applyBorder="1" applyAlignment="1">
      <alignment wrapText="1"/>
    </xf>
    <xf numFmtId="3" fontId="11" fillId="0" borderId="50" xfId="0" applyNumberFormat="1" applyFont="1" applyBorder="1" applyAlignment="1">
      <alignment wrapText="1"/>
    </xf>
    <xf numFmtId="0" fontId="15" fillId="0" borderId="49" xfId="0" applyFont="1" applyBorder="1" applyAlignment="1">
      <alignment wrapText="1"/>
    </xf>
    <xf numFmtId="0" fontId="13" fillId="0" borderId="49" xfId="0" applyFont="1" applyBorder="1" applyAlignment="1">
      <alignment wrapText="1"/>
    </xf>
    <xf numFmtId="0" fontId="11" fillId="0" borderId="49" xfId="0" applyFont="1" applyFill="1" applyBorder="1" applyAlignment="1">
      <alignment wrapText="1"/>
    </xf>
    <xf numFmtId="0" fontId="11" fillId="0" borderId="51" xfId="0" applyFont="1" applyFill="1" applyBorder="1" applyAlignment="1">
      <alignment wrapText="1"/>
    </xf>
    <xf numFmtId="0" fontId="0" fillId="0" borderId="50" xfId="0" applyFill="1" applyBorder="1" applyAlignment="1">
      <alignment wrapText="1"/>
    </xf>
    <xf numFmtId="0" fontId="11" fillId="0" borderId="52" xfId="0" applyFont="1" applyFill="1" applyBorder="1" applyAlignment="1">
      <alignment wrapText="1"/>
    </xf>
    <xf numFmtId="0" fontId="24" fillId="0" borderId="77" xfId="0" applyFont="1" applyBorder="1"/>
    <xf numFmtId="0" fontId="11" fillId="20" borderId="11" xfId="0" applyFont="1" applyFill="1" applyBorder="1"/>
    <xf numFmtId="0" fontId="9" fillId="0" borderId="49" xfId="0" applyFont="1" applyBorder="1" applyAlignment="1">
      <alignment horizontal="center" vertical="center" wrapText="1"/>
    </xf>
    <xf numFmtId="0" fontId="9" fillId="24" borderId="49" xfId="0" applyFont="1" applyFill="1" applyBorder="1" applyAlignment="1">
      <alignment wrapText="1"/>
    </xf>
    <xf numFmtId="0" fontId="11" fillId="24" borderId="50" xfId="0" applyFont="1" applyFill="1" applyBorder="1" applyAlignment="1">
      <alignment wrapText="1"/>
    </xf>
    <xf numFmtId="0" fontId="4" fillId="24" borderId="51" xfId="0" applyFont="1" applyFill="1" applyBorder="1" applyAlignment="1">
      <alignment wrapText="1"/>
    </xf>
    <xf numFmtId="0" fontId="3" fillId="24" borderId="51" xfId="0" applyFont="1" applyFill="1" applyBorder="1" applyAlignment="1">
      <alignment wrapText="1"/>
    </xf>
    <xf numFmtId="164" fontId="17" fillId="15" borderId="0" xfId="0" applyNumberFormat="1" applyFont="1" applyFill="1" applyAlignment="1">
      <alignment horizontal="right" wrapText="1"/>
    </xf>
    <xf numFmtId="164" fontId="8" fillId="14" borderId="78" xfId="0" applyNumberFormat="1" applyFont="1" applyFill="1" applyBorder="1" applyAlignment="1">
      <alignment horizontal="right" wrapText="1"/>
    </xf>
    <xf numFmtId="164" fontId="8" fillId="14" borderId="79" xfId="0" applyNumberFormat="1" applyFont="1" applyFill="1" applyBorder="1" applyAlignment="1">
      <alignment horizontal="right" wrapText="1"/>
    </xf>
    <xf numFmtId="164" fontId="11" fillId="0" borderId="69" xfId="0" applyNumberFormat="1" applyFont="1" applyBorder="1" applyAlignment="1">
      <alignment horizontal="right" wrapText="1"/>
    </xf>
    <xf numFmtId="164" fontId="11" fillId="0" borderId="70" xfId="0" applyNumberFormat="1" applyFont="1" applyBorder="1" applyAlignment="1">
      <alignment horizontal="right" wrapText="1"/>
    </xf>
    <xf numFmtId="164" fontId="11" fillId="0" borderId="80" xfId="0" applyNumberFormat="1" applyFont="1" applyBorder="1" applyAlignment="1">
      <alignment horizontal="right" wrapText="1"/>
    </xf>
    <xf numFmtId="0" fontId="0" fillId="0" borderId="80" xfId="0" applyFill="1" applyBorder="1" applyAlignment="1">
      <alignment wrapText="1"/>
    </xf>
    <xf numFmtId="164" fontId="6" fillId="11" borderId="71" xfId="0" applyNumberFormat="1" applyFont="1" applyFill="1" applyBorder="1" applyAlignment="1">
      <alignment horizontal="right" wrapText="1"/>
    </xf>
    <xf numFmtId="164" fontId="6" fillId="25" borderId="70" xfId="0" applyNumberFormat="1" applyFont="1" applyFill="1" applyBorder="1" applyAlignment="1">
      <alignment horizontal="right" wrapText="1"/>
    </xf>
    <xf numFmtId="164" fontId="6" fillId="11" borderId="69" xfId="0" applyNumberFormat="1" applyFont="1" applyFill="1" applyBorder="1" applyAlignment="1">
      <alignment horizontal="right" wrapText="1"/>
    </xf>
    <xf numFmtId="164" fontId="6" fillId="11" borderId="73" xfId="0" applyNumberFormat="1" applyFont="1" applyFill="1" applyBorder="1" applyAlignment="1">
      <alignment horizontal="right" wrapText="1"/>
    </xf>
    <xf numFmtId="164" fontId="6" fillId="11" borderId="74" xfId="0" applyNumberFormat="1" applyFont="1" applyFill="1" applyBorder="1" applyAlignment="1">
      <alignment horizontal="right" wrapText="1"/>
    </xf>
    <xf numFmtId="164" fontId="6" fillId="25" borderId="75" xfId="0" applyNumberFormat="1" applyFont="1" applyFill="1" applyBorder="1" applyAlignment="1">
      <alignment horizontal="right" wrapText="1"/>
    </xf>
    <xf numFmtId="164" fontId="11" fillId="17" borderId="13" xfId="0" applyNumberFormat="1" applyFont="1" applyFill="1" applyBorder="1" applyAlignment="1">
      <alignment horizontal="right" wrapText="1"/>
    </xf>
    <xf numFmtId="164" fontId="23" fillId="17" borderId="13" xfId="0" applyNumberFormat="1" applyFont="1" applyFill="1" applyBorder="1" applyAlignment="1">
      <alignment horizontal="right" wrapText="1"/>
    </xf>
    <xf numFmtId="164" fontId="11" fillId="17" borderId="16" xfId="0" applyNumberFormat="1" applyFont="1" applyFill="1" applyBorder="1" applyAlignment="1">
      <alignment horizontal="right" wrapText="1"/>
    </xf>
    <xf numFmtId="164" fontId="9" fillId="17" borderId="13" xfId="0" applyNumberFormat="1" applyFont="1" applyFill="1" applyBorder="1" applyAlignment="1">
      <alignment horizontal="right" wrapText="1"/>
    </xf>
    <xf numFmtId="164" fontId="9" fillId="17" borderId="16" xfId="0" applyNumberFormat="1" applyFont="1" applyFill="1" applyBorder="1" applyAlignment="1">
      <alignment horizontal="right" wrapText="1"/>
    </xf>
    <xf numFmtId="164" fontId="23" fillId="17" borderId="12" xfId="2" applyNumberFormat="1" applyFont="1" applyFill="1" applyBorder="1" applyAlignment="1">
      <alignment horizontal="right"/>
    </xf>
    <xf numFmtId="164" fontId="9" fillId="0" borderId="32" xfId="0" applyNumberFormat="1" applyFont="1" applyFill="1" applyBorder="1" applyAlignment="1">
      <alignment horizontal="right" wrapText="1"/>
    </xf>
    <xf numFmtId="164" fontId="9" fillId="0" borderId="7" xfId="0" applyNumberFormat="1" applyFont="1" applyFill="1" applyBorder="1" applyAlignment="1">
      <alignment horizontal="right" wrapText="1"/>
    </xf>
    <xf numFmtId="164" fontId="9" fillId="0" borderId="42" xfId="0" applyNumberFormat="1" applyFont="1" applyFill="1" applyBorder="1" applyAlignment="1">
      <alignment horizontal="right" wrapText="1"/>
    </xf>
    <xf numFmtId="164" fontId="9" fillId="0" borderId="81" xfId="0" applyNumberFormat="1" applyFont="1" applyFill="1" applyBorder="1" applyAlignment="1">
      <alignment horizontal="right" wrapText="1"/>
    </xf>
    <xf numFmtId="164" fontId="9" fillId="0" borderId="82" xfId="0" applyNumberFormat="1" applyFont="1" applyBorder="1" applyAlignment="1">
      <alignment horizontal="right" wrapText="1"/>
    </xf>
    <xf numFmtId="164" fontId="9" fillId="0" borderId="83" xfId="0" applyNumberFormat="1" applyFont="1" applyBorder="1" applyAlignment="1">
      <alignment horizontal="right" wrapText="1"/>
    </xf>
    <xf numFmtId="0" fontId="9" fillId="23" borderId="50" xfId="0" applyFont="1" applyFill="1" applyBorder="1" applyAlignment="1">
      <alignment wrapText="1"/>
    </xf>
    <xf numFmtId="164" fontId="6" fillId="26" borderId="13" xfId="0" applyNumberFormat="1" applyFont="1" applyFill="1" applyBorder="1" applyAlignment="1">
      <alignment horizontal="right" wrapText="1"/>
    </xf>
    <xf numFmtId="0" fontId="25" fillId="0" borderId="27" xfId="0" applyFont="1" applyBorder="1" applyAlignment="1">
      <alignment wrapText="1"/>
    </xf>
    <xf numFmtId="0" fontId="25" fillId="0" borderId="26" xfId="0" applyFont="1" applyBorder="1"/>
    <xf numFmtId="0" fontId="25" fillId="0" borderId="27" xfId="0" applyFont="1" applyBorder="1"/>
    <xf numFmtId="0" fontId="0" fillId="0" borderId="0" xfId="0" applyFont="1"/>
    <xf numFmtId="0" fontId="15" fillId="0" borderId="49" xfId="0" applyFont="1" applyFill="1" applyBorder="1" applyAlignment="1">
      <alignment wrapText="1"/>
    </xf>
    <xf numFmtId="164" fontId="6" fillId="5" borderId="41" xfId="1" applyNumberFormat="1" applyFont="1" applyFill="1" applyBorder="1" applyAlignment="1">
      <alignment horizontal="right" wrapText="1"/>
    </xf>
    <xf numFmtId="164" fontId="9" fillId="11" borderId="71" xfId="0" applyNumberFormat="1" applyFont="1" applyFill="1" applyBorder="1" applyAlignment="1">
      <alignment horizontal="right" wrapText="1"/>
    </xf>
    <xf numFmtId="164" fontId="9" fillId="11" borderId="69" xfId="0" applyNumberFormat="1" applyFont="1" applyFill="1" applyBorder="1" applyAlignment="1">
      <alignment horizontal="right" wrapText="1"/>
    </xf>
    <xf numFmtId="0" fontId="19" fillId="13" borderId="30" xfId="0" applyFont="1" applyFill="1" applyBorder="1" applyAlignment="1">
      <alignment horizontal="left" wrapText="1" indent="2"/>
    </xf>
    <xf numFmtId="0" fontId="19" fillId="13" borderId="38" xfId="0" applyFont="1" applyFill="1" applyBorder="1" applyAlignment="1">
      <alignment horizontal="left" wrapText="1" indent="2"/>
    </xf>
    <xf numFmtId="0" fontId="26" fillId="0" borderId="0" xfId="0" applyFont="1" applyAlignment="1">
      <alignment wrapText="1"/>
    </xf>
    <xf numFmtId="164" fontId="6" fillId="12" borderId="0" xfId="0" applyNumberFormat="1" applyFont="1" applyFill="1" applyAlignment="1">
      <alignment horizontal="right" wrapText="1"/>
    </xf>
    <xf numFmtId="0" fontId="6" fillId="5" borderId="5" xfId="0" applyFont="1" applyFill="1" applyBorder="1" applyAlignment="1">
      <alignment wrapText="1"/>
    </xf>
    <xf numFmtId="0" fontId="6" fillId="8" borderId="0" xfId="0" applyFont="1" applyFill="1" applyBorder="1" applyAlignment="1">
      <alignment wrapText="1"/>
    </xf>
    <xf numFmtId="164" fontId="6" fillId="8" borderId="39" xfId="1" applyNumberFormat="1" applyFont="1" applyFill="1" applyBorder="1" applyAlignment="1">
      <alignment horizontal="right" wrapText="1"/>
    </xf>
    <xf numFmtId="164" fontId="6" fillId="8" borderId="0" xfId="1" applyNumberFormat="1" applyFont="1" applyFill="1" applyBorder="1" applyAlignment="1">
      <alignment horizontal="right" wrapText="1"/>
    </xf>
    <xf numFmtId="164" fontId="6" fillId="8" borderId="0" xfId="0" applyNumberFormat="1" applyFont="1" applyFill="1" applyBorder="1" applyAlignment="1">
      <alignment horizontal="right" wrapText="1"/>
    </xf>
    <xf numFmtId="0" fontId="6" fillId="10" borderId="0" xfId="0" applyFont="1" applyFill="1" applyBorder="1" applyAlignment="1">
      <alignment wrapText="1"/>
    </xf>
    <xf numFmtId="164" fontId="6" fillId="10" borderId="0" xfId="0" applyNumberFormat="1" applyFont="1" applyFill="1" applyBorder="1" applyAlignment="1">
      <alignment horizontal="right" wrapText="1"/>
    </xf>
    <xf numFmtId="0" fontId="15" fillId="0" borderId="50" xfId="0" applyFont="1" applyFill="1" applyBorder="1" applyAlignment="1">
      <alignment wrapText="1"/>
    </xf>
    <xf numFmtId="0" fontId="27" fillId="0" borderId="50" xfId="0" applyFont="1" applyBorder="1" applyAlignment="1">
      <alignment wrapText="1"/>
    </xf>
    <xf numFmtId="0" fontId="15" fillId="0" borderId="11" xfId="0" applyFont="1" applyFill="1" applyBorder="1"/>
    <xf numFmtId="0" fontId="15" fillId="0" borderId="7" xfId="0" applyFont="1" applyFill="1" applyBorder="1" applyAlignment="1">
      <alignment wrapText="1"/>
    </xf>
    <xf numFmtId="164" fontId="15" fillId="0" borderId="69" xfId="0" applyNumberFormat="1" applyFont="1" applyBorder="1" applyAlignment="1">
      <alignment horizontal="right" wrapText="1"/>
    </xf>
    <xf numFmtId="164" fontId="15" fillId="0" borderId="12" xfId="0" applyNumberFormat="1" applyFont="1" applyBorder="1" applyAlignment="1">
      <alignment horizontal="right" wrapText="1"/>
    </xf>
    <xf numFmtId="164" fontId="15" fillId="0" borderId="70" xfId="0" applyNumberFormat="1" applyFont="1" applyBorder="1" applyAlignment="1">
      <alignment horizontal="right" wrapText="1"/>
    </xf>
    <xf numFmtId="164" fontId="15" fillId="6" borderId="0" xfId="0" applyNumberFormat="1" applyFont="1" applyFill="1" applyBorder="1" applyAlignment="1">
      <alignment horizontal="right" wrapText="1"/>
    </xf>
    <xf numFmtId="164" fontId="15" fillId="0" borderId="11" xfId="0" applyNumberFormat="1" applyFont="1" applyBorder="1" applyAlignment="1">
      <alignment horizontal="right" wrapText="1"/>
    </xf>
    <xf numFmtId="164" fontId="15" fillId="0" borderId="13" xfId="0" applyNumberFormat="1" applyFont="1" applyBorder="1" applyAlignment="1">
      <alignment horizontal="right" wrapText="1"/>
    </xf>
    <xf numFmtId="0" fontId="15" fillId="0" borderId="50" xfId="0" applyFont="1" applyBorder="1" applyAlignment="1">
      <alignment wrapText="1"/>
    </xf>
    <xf numFmtId="0" fontId="15" fillId="0" borderId="51" xfId="0" applyFont="1" applyBorder="1" applyAlignment="1">
      <alignment wrapText="1"/>
    </xf>
    <xf numFmtId="0" fontId="15" fillId="0" borderId="0" xfId="0" applyFont="1" applyAlignment="1">
      <alignment wrapText="1"/>
    </xf>
    <xf numFmtId="0" fontId="16" fillId="0" borderId="0" xfId="0" applyFont="1" applyAlignment="1">
      <alignment wrapText="1"/>
    </xf>
    <xf numFmtId="0" fontId="15" fillId="0" borderId="12" xfId="0" applyFont="1" applyFill="1" applyBorder="1"/>
    <xf numFmtId="0" fontId="28" fillId="15" borderId="50" xfId="0" applyFont="1" applyFill="1" applyBorder="1" applyAlignment="1">
      <alignment horizontal="left" vertical="center" wrapText="1"/>
    </xf>
    <xf numFmtId="0" fontId="29" fillId="0" borderId="26" xfId="0" applyFont="1" applyBorder="1"/>
    <xf numFmtId="0" fontId="29" fillId="0" borderId="27" xfId="0" applyFont="1" applyBorder="1"/>
    <xf numFmtId="0" fontId="29" fillId="0" borderId="27" xfId="0" applyFont="1" applyBorder="1" applyAlignment="1">
      <alignment wrapText="1"/>
    </xf>
    <xf numFmtId="8" fontId="29" fillId="0" borderId="27" xfId="0" applyNumberFormat="1" applyFont="1" applyBorder="1"/>
    <xf numFmtId="0" fontId="30" fillId="0" borderId="0" xfId="0" applyFont="1"/>
    <xf numFmtId="6" fontId="25" fillId="0" borderId="27" xfId="0" applyNumberFormat="1" applyFont="1" applyBorder="1"/>
    <xf numFmtId="0" fontId="0" fillId="0" borderId="27" xfId="0" applyBorder="1"/>
    <xf numFmtId="165" fontId="0" fillId="0" borderId="27" xfId="0" applyNumberFormat="1" applyBorder="1"/>
    <xf numFmtId="0" fontId="0" fillId="0" borderId="27" xfId="0" applyBorder="1" applyAlignment="1">
      <alignment wrapText="1"/>
    </xf>
    <xf numFmtId="0" fontId="16" fillId="0" borderId="27" xfId="0" applyFont="1" applyBorder="1" applyAlignment="1">
      <alignment wrapText="1"/>
    </xf>
    <xf numFmtId="0" fontId="26" fillId="0" borderId="27" xfId="0" applyFont="1" applyBorder="1" applyAlignment="1">
      <alignment wrapText="1"/>
    </xf>
    <xf numFmtId="0" fontId="30" fillId="0" borderId="26" xfId="0" applyFont="1" applyBorder="1"/>
    <xf numFmtId="165" fontId="30" fillId="0" borderId="26" xfId="0" applyNumberFormat="1" applyFont="1" applyBorder="1"/>
    <xf numFmtId="0" fontId="30" fillId="0" borderId="26" xfId="0" applyFont="1" applyBorder="1" applyAlignment="1">
      <alignment wrapText="1"/>
    </xf>
    <xf numFmtId="165" fontId="16" fillId="0" borderId="26" xfId="0" applyNumberFormat="1" applyFont="1" applyBorder="1"/>
    <xf numFmtId="0" fontId="16" fillId="0" borderId="26" xfId="0" applyFont="1" applyBorder="1" applyAlignment="1">
      <alignment wrapText="1"/>
    </xf>
    <xf numFmtId="0" fontId="16" fillId="0" borderId="26" xfId="0" applyFont="1" applyBorder="1"/>
    <xf numFmtId="0" fontId="16" fillId="0" borderId="27" xfId="0" applyFont="1" applyBorder="1"/>
    <xf numFmtId="165" fontId="16" fillId="0" borderId="27" xfId="0" applyNumberFormat="1" applyFont="1" applyBorder="1"/>
    <xf numFmtId="0" fontId="5" fillId="16" borderId="26" xfId="0" applyFont="1" applyFill="1" applyBorder="1" applyAlignment="1">
      <alignment horizontal="center"/>
    </xf>
    <xf numFmtId="0" fontId="0" fillId="27" borderId="26" xfId="0" applyFill="1" applyBorder="1"/>
    <xf numFmtId="165" fontId="0" fillId="27" borderId="26" xfId="0" applyNumberFormat="1" applyFill="1" applyBorder="1"/>
    <xf numFmtId="0" fontId="0" fillId="28" borderId="26" xfId="0" applyFill="1" applyBorder="1" applyAlignment="1">
      <alignment horizontal="right"/>
    </xf>
    <xf numFmtId="165" fontId="0" fillId="28" borderId="26" xfId="0" applyNumberFormat="1" applyFill="1" applyBorder="1"/>
    <xf numFmtId="0" fontId="0" fillId="28" borderId="26" xfId="0" applyFill="1" applyBorder="1"/>
    <xf numFmtId="0" fontId="0" fillId="29" borderId="26" xfId="0" applyFill="1" applyBorder="1"/>
    <xf numFmtId="165" fontId="0" fillId="29" borderId="26" xfId="0" applyNumberFormat="1" applyFill="1" applyBorder="1"/>
    <xf numFmtId="0" fontId="0" fillId="9" borderId="26" xfId="0" applyFill="1" applyBorder="1"/>
    <xf numFmtId="165" fontId="0" fillId="9" borderId="26" xfId="0" applyNumberFormat="1" applyFill="1" applyBorder="1"/>
    <xf numFmtId="0" fontId="0" fillId="30" borderId="26" xfId="0" applyFill="1" applyBorder="1"/>
    <xf numFmtId="165" fontId="0" fillId="30" borderId="26" xfId="0" applyNumberFormat="1" applyFill="1" applyBorder="1"/>
    <xf numFmtId="0" fontId="0" fillId="6" borderId="0" xfId="0" applyFill="1"/>
    <xf numFmtId="0" fontId="31" fillId="6" borderId="0" xfId="0" applyFont="1" applyFill="1" applyAlignment="1">
      <alignment horizontal="center"/>
    </xf>
    <xf numFmtId="0" fontId="32" fillId="0" borderId="0" xfId="0" applyFont="1" applyAlignment="1">
      <alignment wrapText="1"/>
    </xf>
    <xf numFmtId="0" fontId="31" fillId="14" borderId="2" xfId="0" applyFont="1" applyFill="1" applyBorder="1" applyAlignment="1">
      <alignment wrapText="1"/>
    </xf>
    <xf numFmtId="0" fontId="31" fillId="14" borderId="35" xfId="0" applyFont="1" applyFill="1" applyBorder="1" applyAlignment="1">
      <alignment wrapText="1"/>
    </xf>
    <xf numFmtId="164" fontId="31" fillId="14" borderId="4" xfId="0" applyNumberFormat="1" applyFont="1" applyFill="1" applyBorder="1" applyAlignment="1">
      <alignment horizontal="right" wrapText="1"/>
    </xf>
    <xf numFmtId="164" fontId="31" fillId="6" borderId="0" xfId="0" applyNumberFormat="1" applyFont="1" applyFill="1" applyAlignment="1">
      <alignment horizontal="right" vertical="center" wrapText="1"/>
    </xf>
    <xf numFmtId="164" fontId="31" fillId="14" borderId="20" xfId="0" applyNumberFormat="1" applyFont="1" applyFill="1" applyBorder="1" applyAlignment="1">
      <alignment horizontal="right" vertical="center" wrapText="1"/>
    </xf>
    <xf numFmtId="164" fontId="31" fillId="14" borderId="17" xfId="0" applyNumberFormat="1" applyFont="1" applyFill="1" applyBorder="1" applyAlignment="1">
      <alignment horizontal="right" vertical="center" wrapText="1"/>
    </xf>
    <xf numFmtId="0" fontId="31" fillId="14" borderId="18" xfId="0" applyFont="1" applyFill="1" applyBorder="1" applyAlignment="1">
      <alignment vertical="center" wrapText="1"/>
    </xf>
    <xf numFmtId="0" fontId="32" fillId="0" borderId="7" xfId="0" applyFont="1" applyBorder="1" applyAlignment="1">
      <alignment wrapText="1"/>
    </xf>
    <xf numFmtId="164" fontId="32" fillId="0" borderId="11" xfId="2" applyNumberFormat="1" applyFont="1" applyBorder="1" applyAlignment="1">
      <alignment horizontal="right"/>
    </xf>
    <xf numFmtId="164" fontId="32" fillId="0" borderId="12" xfId="2" applyNumberFormat="1" applyFont="1" applyBorder="1" applyAlignment="1">
      <alignment horizontal="right"/>
    </xf>
    <xf numFmtId="164" fontId="32" fillId="0" borderId="13" xfId="0" applyNumberFormat="1" applyFont="1" applyBorder="1" applyAlignment="1">
      <alignment horizontal="right" wrapText="1"/>
    </xf>
    <xf numFmtId="164" fontId="32" fillId="6" borderId="0" xfId="0" applyNumberFormat="1" applyFont="1" applyFill="1" applyAlignment="1">
      <alignment horizontal="right" wrapText="1"/>
    </xf>
    <xf numFmtId="0" fontId="32" fillId="0" borderId="46" xfId="0" applyFont="1" applyBorder="1" applyAlignment="1">
      <alignment wrapText="1"/>
    </xf>
    <xf numFmtId="0" fontId="32" fillId="0" borderId="49" xfId="0" applyFont="1" applyBorder="1" applyAlignment="1">
      <alignment wrapText="1"/>
    </xf>
    <xf numFmtId="0" fontId="31" fillId="17" borderId="7" xfId="0" applyFont="1" applyFill="1" applyBorder="1" applyAlignment="1">
      <alignment horizontal="left" wrapText="1"/>
    </xf>
    <xf numFmtId="164" fontId="31" fillId="17" borderId="11" xfId="2" applyNumberFormat="1" applyFont="1" applyFill="1" applyBorder="1" applyAlignment="1">
      <alignment horizontal="right"/>
    </xf>
    <xf numFmtId="164" fontId="33" fillId="17" borderId="12" xfId="2" applyNumberFormat="1" applyFont="1" applyFill="1" applyBorder="1" applyAlignment="1">
      <alignment horizontal="right"/>
    </xf>
    <xf numFmtId="164" fontId="33" fillId="17" borderId="13" xfId="0" applyNumberFormat="1" applyFont="1" applyFill="1" applyBorder="1" applyAlignment="1">
      <alignment horizontal="right" wrapText="1"/>
    </xf>
    <xf numFmtId="164" fontId="31" fillId="17" borderId="12" xfId="2" applyNumberFormat="1" applyFont="1" applyFill="1" applyBorder="1" applyAlignment="1">
      <alignment horizontal="right"/>
    </xf>
    <xf numFmtId="164" fontId="34" fillId="17" borderId="13" xfId="0" applyNumberFormat="1" applyFont="1" applyFill="1" applyBorder="1" applyAlignment="1">
      <alignment horizontal="right" wrapText="1"/>
    </xf>
    <xf numFmtId="164" fontId="32" fillId="17" borderId="13" xfId="0" applyNumberFormat="1" applyFont="1" applyFill="1" applyBorder="1" applyAlignment="1">
      <alignment horizontal="right" wrapText="1"/>
    </xf>
    <xf numFmtId="164" fontId="31" fillId="17" borderId="11" xfId="0" applyNumberFormat="1" applyFont="1" applyFill="1" applyBorder="1" applyAlignment="1">
      <alignment horizontal="right" wrapText="1"/>
    </xf>
    <xf numFmtId="164" fontId="31" fillId="17" borderId="12" xfId="0" applyNumberFormat="1" applyFont="1" applyFill="1" applyBorder="1" applyAlignment="1">
      <alignment horizontal="right" wrapText="1"/>
    </xf>
    <xf numFmtId="164" fontId="31" fillId="17" borderId="14" xfId="0" applyNumberFormat="1" applyFont="1" applyFill="1" applyBorder="1" applyAlignment="1">
      <alignment horizontal="right" wrapText="1"/>
    </xf>
    <xf numFmtId="164" fontId="31" fillId="17" borderId="15" xfId="0" applyNumberFormat="1" applyFont="1" applyFill="1" applyBorder="1" applyAlignment="1">
      <alignment horizontal="right" wrapText="1"/>
    </xf>
    <xf numFmtId="164" fontId="31" fillId="6" borderId="0" xfId="0" applyNumberFormat="1" applyFont="1" applyFill="1" applyAlignment="1">
      <alignment horizontal="right" wrapText="1"/>
    </xf>
    <xf numFmtId="164" fontId="32" fillId="0" borderId="0" xfId="0" applyNumberFormat="1" applyFont="1" applyAlignment="1">
      <alignment horizontal="right" wrapText="1"/>
    </xf>
    <xf numFmtId="0" fontId="36" fillId="6" borderId="0" xfId="0" applyFont="1" applyFill="1" applyAlignment="1">
      <alignment horizontal="center" wrapText="1"/>
    </xf>
    <xf numFmtId="0" fontId="34" fillId="0" borderId="0" xfId="0" applyFont="1" applyAlignment="1">
      <alignment wrapText="1"/>
    </xf>
    <xf numFmtId="0" fontId="31" fillId="14" borderId="34" xfId="0" applyFont="1" applyFill="1" applyBorder="1" applyAlignment="1">
      <alignment wrapText="1"/>
    </xf>
    <xf numFmtId="0" fontId="34" fillId="0" borderId="12" xfId="0" applyFont="1" applyBorder="1" applyAlignment="1">
      <alignment wrapText="1"/>
    </xf>
    <xf numFmtId="0" fontId="34" fillId="0" borderId="7" xfId="0" applyFont="1" applyBorder="1" applyAlignment="1">
      <alignment wrapText="1"/>
    </xf>
    <xf numFmtId="164" fontId="34" fillId="0" borderId="11" xfId="0" applyNumberFormat="1" applyFont="1" applyBorder="1" applyAlignment="1">
      <alignment horizontal="right" wrapText="1"/>
    </xf>
    <xf numFmtId="164" fontId="34" fillId="0" borderId="12" xfId="0" applyNumberFormat="1" applyFont="1" applyBorder="1" applyAlignment="1">
      <alignment horizontal="right" wrapText="1"/>
    </xf>
    <xf numFmtId="164" fontId="34" fillId="0" borderId="13" xfId="0" applyNumberFormat="1" applyFont="1" applyBorder="1" applyAlignment="1">
      <alignment horizontal="right" wrapText="1"/>
    </xf>
    <xf numFmtId="164" fontId="34" fillId="6" borderId="0" xfId="0" applyNumberFormat="1" applyFont="1" applyFill="1" applyAlignment="1">
      <alignment horizontal="right" wrapText="1"/>
    </xf>
    <xf numFmtId="164" fontId="34" fillId="0" borderId="12" xfId="0" applyNumberFormat="1" applyFont="1" applyFill="1" applyBorder="1" applyAlignment="1">
      <alignment horizontal="right" wrapText="1"/>
    </xf>
    <xf numFmtId="0" fontId="34" fillId="0" borderId="46" xfId="0" applyFont="1" applyBorder="1" applyAlignment="1">
      <alignment wrapText="1"/>
    </xf>
    <xf numFmtId="0" fontId="28" fillId="0" borderId="49" xfId="0" applyFont="1" applyBorder="1" applyAlignment="1">
      <alignment wrapText="1"/>
    </xf>
    <xf numFmtId="0" fontId="34" fillId="0" borderId="49" xfId="0" applyFont="1" applyBorder="1" applyAlignment="1">
      <alignment wrapText="1"/>
    </xf>
    <xf numFmtId="0" fontId="34" fillId="15" borderId="49" xfId="0" applyFont="1" applyFill="1" applyBorder="1" applyAlignment="1">
      <alignment wrapText="1"/>
    </xf>
    <xf numFmtId="0" fontId="34" fillId="0" borderId="52" xfId="0" applyFont="1" applyBorder="1" applyAlignment="1">
      <alignment wrapText="1"/>
    </xf>
    <xf numFmtId="0" fontId="32" fillId="6" borderId="0" xfId="0" applyFont="1" applyFill="1" applyAlignment="1">
      <alignment wrapText="1"/>
    </xf>
    <xf numFmtId="0" fontId="36" fillId="5" borderId="38" xfId="0" applyFont="1" applyFill="1" applyBorder="1" applyAlignment="1">
      <alignment wrapText="1"/>
    </xf>
    <xf numFmtId="164" fontId="36" fillId="12" borderId="0" xfId="0" applyNumberFormat="1" applyFont="1" applyFill="1" applyAlignment="1">
      <alignment horizontal="right" wrapText="1"/>
    </xf>
    <xf numFmtId="0" fontId="36" fillId="5" borderId="30" xfId="0" applyFont="1" applyFill="1" applyBorder="1" applyAlignment="1">
      <alignment wrapText="1"/>
    </xf>
    <xf numFmtId="164" fontId="36" fillId="5" borderId="11" xfId="0" applyNumberFormat="1" applyFont="1" applyFill="1" applyBorder="1" applyAlignment="1">
      <alignment horizontal="right" wrapText="1"/>
    </xf>
    <xf numFmtId="164" fontId="36" fillId="7" borderId="12" xfId="0" applyNumberFormat="1" applyFont="1" applyFill="1" applyBorder="1" applyAlignment="1">
      <alignment horizontal="right" wrapText="1"/>
    </xf>
    <xf numFmtId="164" fontId="36" fillId="5" borderId="13" xfId="0" applyNumberFormat="1" applyFont="1" applyFill="1" applyBorder="1" applyAlignment="1">
      <alignment horizontal="right" wrapText="1"/>
    </xf>
    <xf numFmtId="164" fontId="36" fillId="5" borderId="12" xfId="0" applyNumberFormat="1" applyFont="1" applyFill="1" applyBorder="1" applyAlignment="1">
      <alignment horizontal="right" wrapText="1"/>
    </xf>
    <xf numFmtId="164" fontId="36" fillId="5" borderId="11" xfId="1" applyNumberFormat="1" applyFont="1" applyFill="1" applyBorder="1" applyAlignment="1">
      <alignment horizontal="right" wrapText="1"/>
    </xf>
    <xf numFmtId="0" fontId="28" fillId="6" borderId="0" xfId="0" applyFont="1" applyFill="1" applyAlignment="1">
      <alignment wrapText="1"/>
    </xf>
    <xf numFmtId="0" fontId="36" fillId="5" borderId="7" xfId="0" applyFont="1" applyFill="1" applyBorder="1" applyAlignment="1">
      <alignment wrapText="1"/>
    </xf>
    <xf numFmtId="0" fontId="36" fillId="5" borderId="23" xfId="0" applyFont="1" applyFill="1" applyBorder="1" applyAlignment="1">
      <alignment wrapText="1"/>
    </xf>
    <xf numFmtId="164" fontId="36" fillId="5" borderId="14" xfId="1" applyNumberFormat="1" applyFont="1" applyFill="1" applyBorder="1" applyAlignment="1">
      <alignment horizontal="right" wrapText="1"/>
    </xf>
    <xf numFmtId="164" fontId="36" fillId="5" borderId="15" xfId="0" applyNumberFormat="1" applyFont="1" applyFill="1" applyBorder="1" applyAlignment="1">
      <alignment horizontal="right" wrapText="1"/>
    </xf>
    <xf numFmtId="164" fontId="36" fillId="5" borderId="16" xfId="0" applyNumberFormat="1" applyFont="1" applyFill="1" applyBorder="1" applyAlignment="1">
      <alignment horizontal="right" wrapText="1"/>
    </xf>
    <xf numFmtId="0" fontId="36" fillId="12" borderId="0" xfId="0" applyFont="1" applyFill="1" applyBorder="1" applyAlignment="1">
      <alignment wrapText="1"/>
    </xf>
    <xf numFmtId="164" fontId="36" fillId="12" borderId="0" xfId="1" applyNumberFormat="1" applyFont="1" applyFill="1" applyBorder="1" applyAlignment="1">
      <alignment horizontal="right" wrapText="1"/>
    </xf>
    <xf numFmtId="164" fontId="36" fillId="12" borderId="0" xfId="0" applyNumberFormat="1" applyFont="1" applyFill="1" applyBorder="1" applyAlignment="1">
      <alignment horizontal="right" wrapText="1"/>
    </xf>
    <xf numFmtId="0" fontId="34" fillId="6" borderId="0" xfId="0" applyFont="1" applyFill="1" applyAlignment="1">
      <alignment wrapText="1"/>
    </xf>
    <xf numFmtId="0" fontId="36" fillId="3" borderId="5" xfId="0" applyFont="1" applyFill="1" applyBorder="1" applyAlignment="1">
      <alignment wrapText="1"/>
    </xf>
    <xf numFmtId="164" fontId="36" fillId="7" borderId="13" xfId="0" applyNumberFormat="1" applyFont="1" applyFill="1" applyBorder="1" applyAlignment="1">
      <alignment horizontal="right" wrapText="1"/>
    </xf>
    <xf numFmtId="0" fontId="36" fillId="5" borderId="45" xfId="0" applyFont="1" applyFill="1" applyBorder="1" applyAlignment="1">
      <alignment wrapText="1"/>
    </xf>
    <xf numFmtId="0" fontId="36" fillId="5" borderId="31" xfId="0" applyFont="1" applyFill="1" applyBorder="1" applyAlignment="1">
      <alignment wrapText="1"/>
    </xf>
    <xf numFmtId="0" fontId="36" fillId="6" borderId="0" xfId="0" applyFont="1" applyFill="1" applyAlignment="1">
      <alignment wrapText="1"/>
    </xf>
    <xf numFmtId="164" fontId="36" fillId="12" borderId="44" xfId="0" applyNumberFormat="1" applyFont="1" applyFill="1" applyBorder="1" applyAlignment="1">
      <alignment horizontal="right" wrapText="1"/>
    </xf>
    <xf numFmtId="164" fontId="36" fillId="6" borderId="0" xfId="0" applyNumberFormat="1" applyFont="1" applyFill="1" applyAlignment="1">
      <alignment horizontal="right" wrapText="1"/>
    </xf>
    <xf numFmtId="164" fontId="36" fillId="12" borderId="28" xfId="0" applyNumberFormat="1" applyFont="1" applyFill="1" applyBorder="1" applyAlignment="1">
      <alignment horizontal="right" wrapText="1"/>
    </xf>
    <xf numFmtId="0" fontId="34" fillId="0" borderId="29" xfId="0" applyFont="1" applyBorder="1" applyAlignment="1">
      <alignment wrapText="1"/>
    </xf>
    <xf numFmtId="0" fontId="34" fillId="0" borderId="30" xfId="0" applyFont="1" applyBorder="1" applyAlignment="1">
      <alignment wrapText="1"/>
    </xf>
    <xf numFmtId="0" fontId="34" fillId="0" borderId="38" xfId="0" applyFont="1" applyBorder="1" applyAlignment="1">
      <alignment wrapText="1"/>
    </xf>
    <xf numFmtId="44" fontId="32" fillId="3" borderId="14" xfId="0" applyNumberFormat="1" applyFont="1" applyFill="1" applyBorder="1" applyAlignment="1">
      <alignment wrapText="1"/>
    </xf>
    <xf numFmtId="44" fontId="32" fillId="3" borderId="15" xfId="0" applyNumberFormat="1" applyFont="1" applyFill="1" applyBorder="1" applyAlignment="1">
      <alignment wrapText="1"/>
    </xf>
    <xf numFmtId="44" fontId="32" fillId="3" borderId="16" xfId="0" applyNumberFormat="1" applyFont="1" applyFill="1" applyBorder="1" applyAlignment="1">
      <alignment wrapText="1"/>
    </xf>
    <xf numFmtId="0" fontId="31" fillId="14" borderId="6" xfId="0" applyFont="1" applyFill="1" applyBorder="1" applyAlignment="1">
      <alignment wrapText="1"/>
    </xf>
    <xf numFmtId="0" fontId="34" fillId="0" borderId="8" xfId="0" applyFont="1" applyBorder="1" applyAlignment="1">
      <alignment wrapText="1"/>
    </xf>
    <xf numFmtId="0" fontId="34" fillId="0" borderId="32" xfId="0" applyFont="1" applyBorder="1" applyAlignment="1">
      <alignment wrapText="1"/>
    </xf>
    <xf numFmtId="0" fontId="34" fillId="0" borderId="11" xfId="0" applyFont="1" applyBorder="1" applyAlignment="1">
      <alignment wrapText="1"/>
    </xf>
    <xf numFmtId="0" fontId="34" fillId="0" borderId="41" xfId="0" applyFont="1" applyBorder="1" applyAlignment="1">
      <alignment wrapText="1"/>
    </xf>
    <xf numFmtId="0" fontId="34" fillId="0" borderId="42" xfId="0" applyFont="1" applyBorder="1" applyAlignment="1">
      <alignment wrapText="1"/>
    </xf>
    <xf numFmtId="164" fontId="34" fillId="6" borderId="43" xfId="0" applyNumberFormat="1" applyFont="1" applyFill="1" applyBorder="1" applyAlignment="1">
      <alignment horizontal="right" wrapText="1"/>
    </xf>
    <xf numFmtId="0" fontId="36" fillId="8" borderId="38" xfId="0" applyFont="1" applyFill="1" applyBorder="1" applyAlignment="1">
      <alignment wrapText="1"/>
    </xf>
    <xf numFmtId="0" fontId="36" fillId="8" borderId="30" xfId="0" applyFont="1" applyFill="1" applyBorder="1" applyAlignment="1">
      <alignment wrapText="1"/>
    </xf>
    <xf numFmtId="164" fontId="36" fillId="8" borderId="11" xfId="1" applyNumberFormat="1" applyFont="1" applyFill="1" applyBorder="1" applyAlignment="1">
      <alignment horizontal="right" wrapText="1"/>
    </xf>
    <xf numFmtId="164" fontId="32" fillId="4" borderId="12" xfId="0" applyNumberFormat="1" applyFont="1" applyFill="1" applyBorder="1" applyAlignment="1">
      <alignment horizontal="right" wrapText="1"/>
    </xf>
    <xf numFmtId="164" fontId="36" fillId="8" borderId="13" xfId="0" applyNumberFormat="1" applyFont="1" applyFill="1" applyBorder="1" applyAlignment="1">
      <alignment horizontal="right" wrapText="1"/>
    </xf>
    <xf numFmtId="164" fontId="37" fillId="4" borderId="11" xfId="0" applyNumberFormat="1" applyFont="1" applyFill="1" applyBorder="1" applyAlignment="1">
      <alignment horizontal="right" wrapText="1"/>
    </xf>
    <xf numFmtId="164" fontId="37" fillId="4" borderId="12" xfId="0" applyNumberFormat="1" applyFont="1" applyFill="1" applyBorder="1" applyAlignment="1">
      <alignment horizontal="right" wrapText="1"/>
    </xf>
    <xf numFmtId="164" fontId="36" fillId="8" borderId="12" xfId="0" applyNumberFormat="1" applyFont="1" applyFill="1" applyBorder="1" applyAlignment="1">
      <alignment horizontal="right" wrapText="1"/>
    </xf>
    <xf numFmtId="164" fontId="36" fillId="8" borderId="14" xfId="1" applyNumberFormat="1" applyFont="1" applyFill="1" applyBorder="1" applyAlignment="1">
      <alignment horizontal="right" wrapText="1"/>
    </xf>
    <xf numFmtId="164" fontId="36" fillId="8" borderId="15" xfId="1" applyNumberFormat="1" applyFont="1" applyFill="1" applyBorder="1" applyAlignment="1">
      <alignment horizontal="right" wrapText="1"/>
    </xf>
    <xf numFmtId="164" fontId="36" fillId="8" borderId="16" xfId="0" applyNumberFormat="1" applyFont="1" applyFill="1" applyBorder="1" applyAlignment="1">
      <alignment horizontal="right" wrapText="1"/>
    </xf>
    <xf numFmtId="0" fontId="36" fillId="8" borderId="0" xfId="0" applyFont="1" applyFill="1" applyAlignment="1">
      <alignment wrapText="1"/>
    </xf>
    <xf numFmtId="0" fontId="31" fillId="14" borderId="36" xfId="0" applyFont="1" applyFill="1" applyBorder="1" applyAlignment="1">
      <alignment wrapText="1"/>
    </xf>
    <xf numFmtId="0" fontId="36" fillId="10" borderId="7" xfId="0" applyFont="1" applyFill="1" applyBorder="1" applyAlignment="1">
      <alignment wrapText="1"/>
    </xf>
    <xf numFmtId="164" fontId="36" fillId="10" borderId="11" xfId="0" applyNumberFormat="1" applyFont="1" applyFill="1" applyBorder="1" applyAlignment="1">
      <alignment horizontal="right" wrapText="1"/>
    </xf>
    <xf numFmtId="164" fontId="36" fillId="10" borderId="12" xfId="0" applyNumberFormat="1" applyFont="1" applyFill="1" applyBorder="1" applyAlignment="1">
      <alignment horizontal="right" wrapText="1"/>
    </xf>
    <xf numFmtId="164" fontId="36" fillId="10" borderId="13" xfId="0" applyNumberFormat="1" applyFont="1" applyFill="1" applyBorder="1" applyAlignment="1">
      <alignment horizontal="right" wrapText="1"/>
    </xf>
    <xf numFmtId="3" fontId="34" fillId="6" borderId="0" xfId="0" applyNumberFormat="1" applyFont="1" applyFill="1" applyAlignment="1">
      <alignment wrapText="1"/>
    </xf>
    <xf numFmtId="164" fontId="36" fillId="10" borderId="14" xfId="0" applyNumberFormat="1" applyFont="1" applyFill="1" applyBorder="1" applyAlignment="1">
      <alignment horizontal="right" wrapText="1"/>
    </xf>
    <xf numFmtId="166" fontId="36" fillId="10" borderId="15" xfId="0" applyNumberFormat="1" applyFont="1" applyFill="1" applyBorder="1" applyAlignment="1">
      <alignment horizontal="right" wrapText="1"/>
    </xf>
    <xf numFmtId="164" fontId="36" fillId="10" borderId="15" xfId="0" applyNumberFormat="1" applyFont="1" applyFill="1" applyBorder="1" applyAlignment="1">
      <alignment horizontal="right" wrapText="1"/>
    </xf>
    <xf numFmtId="164" fontId="36" fillId="10" borderId="16" xfId="0" applyNumberFormat="1" applyFont="1" applyFill="1" applyBorder="1" applyAlignment="1">
      <alignment horizontal="right" wrapText="1"/>
    </xf>
    <xf numFmtId="166" fontId="36" fillId="12" borderId="0" xfId="0" applyNumberFormat="1" applyFont="1" applyFill="1" applyBorder="1" applyAlignment="1">
      <alignment horizontal="right" wrapText="1"/>
    </xf>
    <xf numFmtId="0" fontId="32" fillId="0" borderId="11" xfId="0" applyFont="1" applyBorder="1"/>
    <xf numFmtId="164" fontId="32" fillId="0" borderId="12" xfId="0" applyNumberFormat="1" applyFont="1" applyBorder="1" applyAlignment="1">
      <alignment horizontal="right" wrapText="1"/>
    </xf>
    <xf numFmtId="0" fontId="32" fillId="0" borderId="76" xfId="0" applyFont="1" applyBorder="1" applyAlignment="1">
      <alignment wrapText="1"/>
    </xf>
    <xf numFmtId="0" fontId="38" fillId="0" borderId="49" xfId="0" applyFont="1" applyBorder="1" applyAlignment="1">
      <alignment wrapText="1"/>
    </xf>
    <xf numFmtId="0" fontId="39" fillId="0" borderId="11" xfId="0" applyFont="1" applyBorder="1"/>
    <xf numFmtId="0" fontId="38" fillId="0" borderId="7" xfId="0" applyFont="1" applyBorder="1" applyAlignment="1">
      <alignment wrapText="1"/>
    </xf>
    <xf numFmtId="164" fontId="38" fillId="0" borderId="12" xfId="0" applyNumberFormat="1" applyFont="1" applyBorder="1" applyAlignment="1">
      <alignment horizontal="right" wrapText="1"/>
    </xf>
    <xf numFmtId="164" fontId="39" fillId="6" borderId="0" xfId="0" applyNumberFormat="1" applyFont="1" applyFill="1" applyAlignment="1">
      <alignment horizontal="right" wrapText="1"/>
    </xf>
    <xf numFmtId="0" fontId="39" fillId="0" borderId="49" xfId="0" applyFont="1" applyBorder="1" applyAlignment="1">
      <alignment wrapText="1"/>
    </xf>
    <xf numFmtId="0" fontId="39" fillId="0" borderId="0" xfId="0" applyFont="1" applyAlignment="1">
      <alignment wrapText="1"/>
    </xf>
    <xf numFmtId="164" fontId="38" fillId="0" borderId="12" xfId="0" applyNumberFormat="1" applyFont="1" applyFill="1" applyBorder="1" applyAlignment="1">
      <alignment horizontal="right" wrapText="1"/>
    </xf>
    <xf numFmtId="164" fontId="39" fillId="0" borderId="12" xfId="0" applyNumberFormat="1" applyFont="1" applyBorder="1" applyAlignment="1">
      <alignment horizontal="right" wrapText="1"/>
    </xf>
    <xf numFmtId="0" fontId="39" fillId="0" borderId="12" xfId="0" applyFont="1" applyBorder="1"/>
    <xf numFmtId="0" fontId="32" fillId="0" borderId="12" xfId="0" applyFont="1" applyBorder="1"/>
    <xf numFmtId="0" fontId="40" fillId="0" borderId="7" xfId="0" applyFont="1" applyBorder="1" applyAlignment="1">
      <alignment wrapText="1"/>
    </xf>
    <xf numFmtId="164" fontId="32" fillId="0" borderId="12" xfId="0" applyNumberFormat="1" applyFont="1" applyFill="1" applyBorder="1" applyAlignment="1">
      <alignment horizontal="right" wrapText="1"/>
    </xf>
    <xf numFmtId="0" fontId="32" fillId="0" borderId="52" xfId="0" applyFont="1" applyBorder="1" applyAlignment="1">
      <alignment wrapText="1"/>
    </xf>
    <xf numFmtId="0" fontId="36" fillId="13" borderId="38" xfId="0" applyFont="1" applyFill="1" applyBorder="1" applyAlignment="1">
      <alignment wrapText="1"/>
    </xf>
    <xf numFmtId="0" fontId="36" fillId="13" borderId="30" xfId="0" applyFont="1" applyFill="1" applyBorder="1" applyAlignment="1">
      <alignment wrapText="1"/>
    </xf>
    <xf numFmtId="164" fontId="36" fillId="11" borderId="12" xfId="0" applyNumberFormat="1" applyFont="1" applyFill="1" applyBorder="1" applyAlignment="1">
      <alignment horizontal="right" wrapText="1"/>
    </xf>
    <xf numFmtId="0" fontId="36" fillId="13" borderId="45" xfId="0" applyFont="1" applyFill="1" applyBorder="1" applyAlignment="1">
      <alignment wrapText="1"/>
    </xf>
    <xf numFmtId="0" fontId="36" fillId="13" borderId="31" xfId="0" applyFont="1" applyFill="1" applyBorder="1" applyAlignment="1">
      <alignment wrapText="1"/>
    </xf>
    <xf numFmtId="0" fontId="31" fillId="6" borderId="0" xfId="0" applyFont="1" applyFill="1" applyBorder="1" applyAlignment="1">
      <alignment horizontal="left" wrapText="1"/>
    </xf>
    <xf numFmtId="164" fontId="31" fillId="6" borderId="0" xfId="0" applyNumberFormat="1" applyFont="1" applyFill="1" applyBorder="1" applyAlignment="1">
      <alignment horizontal="right" wrapText="1"/>
    </xf>
    <xf numFmtId="164" fontId="34" fillId="6" borderId="0" xfId="0" applyNumberFormat="1" applyFont="1" applyFill="1" applyBorder="1" applyAlignment="1">
      <alignment horizontal="right" wrapText="1"/>
    </xf>
    <xf numFmtId="164" fontId="35" fillId="6" borderId="0" xfId="0" applyNumberFormat="1" applyFont="1" applyFill="1" applyBorder="1" applyAlignment="1">
      <alignment horizontal="right" wrapText="1"/>
    </xf>
    <xf numFmtId="164" fontId="32" fillId="6" borderId="0" xfId="0" applyNumberFormat="1" applyFont="1" applyFill="1" applyBorder="1" applyAlignment="1">
      <alignment horizontal="right" wrapText="1"/>
    </xf>
    <xf numFmtId="0" fontId="32" fillId="6" borderId="0" xfId="0" applyFont="1" applyFill="1" applyBorder="1" applyAlignment="1">
      <alignment wrapText="1"/>
    </xf>
    <xf numFmtId="164" fontId="38" fillId="31" borderId="12" xfId="0" applyNumberFormat="1" applyFont="1" applyFill="1" applyBorder="1" applyAlignment="1">
      <alignment horizontal="right" wrapText="1"/>
    </xf>
    <xf numFmtId="164" fontId="31" fillId="14" borderId="12" xfId="0" applyNumberFormat="1" applyFont="1" applyFill="1" applyBorder="1" applyAlignment="1">
      <alignment horizontal="right" wrapText="1"/>
    </xf>
    <xf numFmtId="164" fontId="34" fillId="31" borderId="12" xfId="0" applyNumberFormat="1" applyFont="1" applyFill="1" applyBorder="1" applyAlignment="1">
      <alignment horizontal="right" wrapText="1"/>
    </xf>
    <xf numFmtId="164" fontId="31" fillId="14" borderId="11" xfId="0" applyNumberFormat="1" applyFont="1" applyFill="1" applyBorder="1" applyAlignment="1">
      <alignment horizontal="right" wrapText="1"/>
    </xf>
    <xf numFmtId="164" fontId="31" fillId="14" borderId="13" xfId="0" applyNumberFormat="1" applyFont="1" applyFill="1" applyBorder="1" applyAlignment="1">
      <alignment horizontal="right" wrapText="1"/>
    </xf>
    <xf numFmtId="164" fontId="34" fillId="0" borderId="11" xfId="0" applyNumberFormat="1" applyFont="1" applyFill="1" applyBorder="1" applyAlignment="1">
      <alignment horizontal="right" wrapText="1"/>
    </xf>
    <xf numFmtId="164" fontId="34" fillId="0" borderId="13" xfId="0" applyNumberFormat="1" applyFont="1" applyFill="1" applyBorder="1" applyAlignment="1">
      <alignment horizontal="right" wrapText="1"/>
    </xf>
    <xf numFmtId="164" fontId="31" fillId="14" borderId="90" xfId="0" applyNumberFormat="1" applyFont="1" applyFill="1" applyBorder="1" applyAlignment="1">
      <alignment horizontal="right" wrapText="1"/>
    </xf>
    <xf numFmtId="164" fontId="31" fillId="14" borderId="91" xfId="0" applyNumberFormat="1" applyFont="1" applyFill="1" applyBorder="1" applyAlignment="1">
      <alignment horizontal="right" wrapText="1"/>
    </xf>
    <xf numFmtId="164" fontId="34" fillId="0" borderId="90" xfId="0" applyNumberFormat="1" applyFont="1" applyBorder="1" applyAlignment="1">
      <alignment horizontal="right" wrapText="1"/>
    </xf>
    <xf numFmtId="164" fontId="34" fillId="0" borderId="91" xfId="0" applyNumberFormat="1" applyFont="1" applyBorder="1" applyAlignment="1">
      <alignment horizontal="right" wrapText="1"/>
    </xf>
    <xf numFmtId="164" fontId="36" fillId="7" borderId="91" xfId="0" applyNumberFormat="1" applyFont="1" applyFill="1" applyBorder="1" applyAlignment="1">
      <alignment horizontal="right" wrapText="1"/>
    </xf>
    <xf numFmtId="164" fontId="36" fillId="5" borderId="90" xfId="0" applyNumberFormat="1" applyFont="1" applyFill="1" applyBorder="1" applyAlignment="1">
      <alignment horizontal="right" wrapText="1"/>
    </xf>
    <xf numFmtId="164" fontId="36" fillId="5" borderId="91" xfId="0" applyNumberFormat="1" applyFont="1" applyFill="1" applyBorder="1" applyAlignment="1">
      <alignment horizontal="right" wrapText="1"/>
    </xf>
    <xf numFmtId="164" fontId="36" fillId="5" borderId="92" xfId="0" applyNumberFormat="1" applyFont="1" applyFill="1" applyBorder="1" applyAlignment="1">
      <alignment horizontal="right" wrapText="1"/>
    </xf>
    <xf numFmtId="164" fontId="36" fillId="5" borderId="93" xfId="0" applyNumberFormat="1" applyFont="1" applyFill="1" applyBorder="1" applyAlignment="1">
      <alignment horizontal="right" wrapText="1"/>
    </xf>
    <xf numFmtId="164" fontId="36" fillId="5" borderId="94" xfId="0" applyNumberFormat="1" applyFont="1" applyFill="1" applyBorder="1" applyAlignment="1">
      <alignment horizontal="right" wrapText="1"/>
    </xf>
    <xf numFmtId="164" fontId="34" fillId="30" borderId="12" xfId="0" applyNumberFormat="1" applyFont="1" applyFill="1" applyBorder="1" applyAlignment="1">
      <alignment horizontal="right" wrapText="1"/>
    </xf>
    <xf numFmtId="164" fontId="36" fillId="26" borderId="12" xfId="0" applyNumberFormat="1" applyFont="1" applyFill="1" applyBorder="1" applyAlignment="1">
      <alignment horizontal="right" wrapText="1"/>
    </xf>
    <xf numFmtId="164" fontId="36" fillId="26" borderId="91" xfId="0" applyNumberFormat="1" applyFont="1" applyFill="1" applyBorder="1" applyAlignment="1">
      <alignment horizontal="right" wrapText="1"/>
    </xf>
    <xf numFmtId="164" fontId="35" fillId="30" borderId="15" xfId="0" applyNumberFormat="1" applyFont="1" applyFill="1" applyBorder="1" applyAlignment="1">
      <alignment horizontal="right" wrapText="1"/>
    </xf>
    <xf numFmtId="164" fontId="32" fillId="30" borderId="12" xfId="2" applyNumberFormat="1" applyFont="1" applyFill="1" applyBorder="1" applyAlignment="1">
      <alignment horizontal="right"/>
    </xf>
    <xf numFmtId="164" fontId="36" fillId="32" borderId="12" xfId="0" applyNumberFormat="1" applyFont="1" applyFill="1" applyBorder="1" applyAlignment="1">
      <alignment horizontal="right" wrapText="1"/>
    </xf>
    <xf numFmtId="164" fontId="36" fillId="8" borderId="90" xfId="0" applyNumberFormat="1" applyFont="1" applyFill="1" applyBorder="1" applyAlignment="1">
      <alignment horizontal="right" wrapText="1"/>
    </xf>
    <xf numFmtId="164" fontId="36" fillId="8" borderId="91" xfId="0" applyNumberFormat="1" applyFont="1" applyFill="1" applyBorder="1" applyAlignment="1">
      <alignment horizontal="right" wrapText="1"/>
    </xf>
    <xf numFmtId="164" fontId="36" fillId="8" borderId="93" xfId="0" applyNumberFormat="1" applyFont="1" applyFill="1" applyBorder="1" applyAlignment="1">
      <alignment horizontal="right" wrapText="1"/>
    </xf>
    <xf numFmtId="164" fontId="36" fillId="8" borderId="94" xfId="0" applyNumberFormat="1" applyFont="1" applyFill="1" applyBorder="1" applyAlignment="1">
      <alignment horizontal="right" wrapText="1"/>
    </xf>
    <xf numFmtId="164" fontId="36" fillId="8" borderId="11" xfId="0" applyNumberFormat="1" applyFont="1" applyFill="1" applyBorder="1" applyAlignment="1">
      <alignment horizontal="right" wrapText="1"/>
    </xf>
    <xf numFmtId="164" fontId="36" fillId="8" borderId="12" xfId="1" applyNumberFormat="1" applyFont="1" applyFill="1" applyBorder="1" applyAlignment="1">
      <alignment horizontal="right" wrapText="1"/>
    </xf>
    <xf numFmtId="164" fontId="36" fillId="8" borderId="90" xfId="1" applyNumberFormat="1" applyFont="1" applyFill="1" applyBorder="1" applyAlignment="1">
      <alignment horizontal="right" wrapText="1"/>
    </xf>
    <xf numFmtId="164" fontId="37" fillId="4" borderId="90" xfId="0" applyNumberFormat="1" applyFont="1" applyFill="1" applyBorder="1" applyAlignment="1">
      <alignment horizontal="right" wrapText="1"/>
    </xf>
    <xf numFmtId="164" fontId="36" fillId="8" borderId="92" xfId="1" applyNumberFormat="1" applyFont="1" applyFill="1" applyBorder="1" applyAlignment="1">
      <alignment horizontal="right" wrapText="1"/>
    </xf>
    <xf numFmtId="164" fontId="32" fillId="30" borderId="12" xfId="0" applyNumberFormat="1" applyFont="1" applyFill="1" applyBorder="1" applyAlignment="1">
      <alignment horizontal="right" wrapText="1"/>
    </xf>
    <xf numFmtId="164" fontId="32" fillId="31" borderId="12" xfId="0" applyNumberFormat="1" applyFont="1" applyFill="1" applyBorder="1" applyAlignment="1">
      <alignment horizontal="right" wrapText="1"/>
    </xf>
    <xf numFmtId="164" fontId="32" fillId="0" borderId="90" xfId="0" applyNumberFormat="1" applyFont="1" applyBorder="1" applyAlignment="1">
      <alignment horizontal="right" wrapText="1"/>
    </xf>
    <xf numFmtId="164" fontId="32" fillId="0" borderId="91" xfId="0" applyNumberFormat="1" applyFont="1" applyBorder="1" applyAlignment="1">
      <alignment horizontal="right" wrapText="1"/>
    </xf>
    <xf numFmtId="164" fontId="38" fillId="0" borderId="90" xfId="0" applyNumberFormat="1" applyFont="1" applyBorder="1" applyAlignment="1">
      <alignment horizontal="right" wrapText="1"/>
    </xf>
    <xf numFmtId="164" fontId="38" fillId="0" borderId="91" xfId="0" applyNumberFormat="1" applyFont="1" applyBorder="1" applyAlignment="1">
      <alignment horizontal="right" wrapText="1"/>
    </xf>
    <xf numFmtId="0" fontId="32" fillId="0" borderId="90" xfId="0" applyFont="1" applyBorder="1" applyAlignment="1">
      <alignment wrapText="1"/>
    </xf>
    <xf numFmtId="164" fontId="36" fillId="11" borderId="90" xfId="0" applyNumberFormat="1" applyFont="1" applyFill="1" applyBorder="1" applyAlignment="1">
      <alignment horizontal="right" wrapText="1"/>
    </xf>
    <xf numFmtId="164" fontId="36" fillId="25" borderId="12" xfId="0" applyNumberFormat="1" applyFont="1" applyFill="1" applyBorder="1" applyAlignment="1">
      <alignment horizontal="right" wrapText="1"/>
    </xf>
    <xf numFmtId="164" fontId="36" fillId="25" borderId="91" xfId="0" applyNumberFormat="1" applyFont="1" applyFill="1" applyBorder="1" applyAlignment="1">
      <alignment horizontal="right" wrapText="1"/>
    </xf>
    <xf numFmtId="164" fontId="36" fillId="11" borderId="92" xfId="0" applyNumberFormat="1" applyFont="1" applyFill="1" applyBorder="1" applyAlignment="1">
      <alignment horizontal="right" wrapText="1"/>
    </xf>
    <xf numFmtId="164" fontId="36" fillId="25" borderId="93" xfId="0" applyNumberFormat="1" applyFont="1" applyFill="1" applyBorder="1" applyAlignment="1">
      <alignment horizontal="right" wrapText="1"/>
    </xf>
    <xf numFmtId="164" fontId="36" fillId="25" borderId="94" xfId="0" applyNumberFormat="1" applyFont="1" applyFill="1" applyBorder="1" applyAlignment="1">
      <alignment horizontal="right" wrapText="1"/>
    </xf>
    <xf numFmtId="164" fontId="38" fillId="0" borderId="13" xfId="0" applyNumberFormat="1" applyFont="1" applyFill="1" applyBorder="1" applyAlignment="1">
      <alignment horizontal="right" wrapText="1"/>
    </xf>
    <xf numFmtId="164" fontId="39" fillId="0" borderId="0" xfId="0" applyNumberFormat="1" applyFont="1" applyFill="1" applyAlignment="1">
      <alignment horizontal="right" wrapText="1"/>
    </xf>
    <xf numFmtId="164" fontId="32" fillId="0" borderId="91" xfId="0" applyNumberFormat="1" applyFont="1" applyFill="1" applyBorder="1" applyAlignment="1">
      <alignment horizontal="right" wrapText="1"/>
    </xf>
    <xf numFmtId="164" fontId="38" fillId="0" borderId="91" xfId="0" applyNumberFormat="1" applyFont="1" applyFill="1" applyBorder="1" applyAlignment="1">
      <alignment horizontal="right" wrapText="1"/>
    </xf>
    <xf numFmtId="164" fontId="39" fillId="0" borderId="90" xfId="0" applyNumberFormat="1" applyFont="1" applyBorder="1" applyAlignment="1">
      <alignment horizontal="right" wrapText="1"/>
    </xf>
    <xf numFmtId="164" fontId="39" fillId="0" borderId="91" xfId="0" applyNumberFormat="1" applyFont="1" applyBorder="1" applyAlignment="1">
      <alignment horizontal="right" wrapText="1"/>
    </xf>
    <xf numFmtId="164" fontId="36" fillId="11" borderId="91" xfId="0" applyNumberFormat="1" applyFont="1" applyFill="1" applyBorder="1" applyAlignment="1">
      <alignment horizontal="right" wrapText="1"/>
    </xf>
    <xf numFmtId="164" fontId="36" fillId="11" borderId="93" xfId="0" applyNumberFormat="1" applyFont="1" applyFill="1" applyBorder="1" applyAlignment="1">
      <alignment horizontal="right" wrapText="1"/>
    </xf>
    <xf numFmtId="164" fontId="36" fillId="11" borderId="94" xfId="0" applyNumberFormat="1" applyFont="1" applyFill="1" applyBorder="1" applyAlignment="1">
      <alignment horizontal="right" wrapText="1"/>
    </xf>
    <xf numFmtId="164" fontId="36" fillId="32" borderId="91" xfId="0" applyNumberFormat="1" applyFont="1" applyFill="1" applyBorder="1" applyAlignment="1">
      <alignment horizontal="right" wrapText="1"/>
    </xf>
    <xf numFmtId="164" fontId="34" fillId="0" borderId="91" xfId="0" applyNumberFormat="1" applyFont="1" applyFill="1" applyBorder="1" applyAlignment="1">
      <alignment horizontal="right" wrapText="1"/>
    </xf>
    <xf numFmtId="164" fontId="36" fillId="10" borderId="90" xfId="0" applyNumberFormat="1" applyFont="1" applyFill="1" applyBorder="1" applyAlignment="1">
      <alignment horizontal="right" wrapText="1"/>
    </xf>
    <xf numFmtId="164" fontId="36" fillId="10" borderId="91" xfId="0" applyNumberFormat="1" applyFont="1" applyFill="1" applyBorder="1" applyAlignment="1">
      <alignment horizontal="right" wrapText="1"/>
    </xf>
    <xf numFmtId="164" fontId="36" fillId="10" borderId="92" xfId="0" applyNumberFormat="1" applyFont="1" applyFill="1" applyBorder="1" applyAlignment="1">
      <alignment horizontal="right" wrapText="1"/>
    </xf>
    <xf numFmtId="164" fontId="36" fillId="10" borderId="93" xfId="0" applyNumberFormat="1" applyFont="1" applyFill="1" applyBorder="1" applyAlignment="1">
      <alignment horizontal="right" wrapText="1"/>
    </xf>
    <xf numFmtId="164" fontId="36" fillId="10" borderId="94" xfId="0" applyNumberFormat="1" applyFont="1" applyFill="1" applyBorder="1" applyAlignment="1">
      <alignment horizontal="right" wrapText="1"/>
    </xf>
    <xf numFmtId="0" fontId="31" fillId="14" borderId="96" xfId="0" applyFont="1" applyFill="1" applyBorder="1" applyAlignment="1">
      <alignment wrapText="1"/>
    </xf>
    <xf numFmtId="0" fontId="31" fillId="14" borderId="10" xfId="0" applyFont="1" applyFill="1" applyBorder="1" applyAlignment="1">
      <alignment wrapText="1"/>
    </xf>
    <xf numFmtId="0" fontId="32" fillId="0" borderId="18" xfId="0" applyFont="1" applyBorder="1" applyAlignment="1">
      <alignment wrapText="1"/>
    </xf>
    <xf numFmtId="0" fontId="32" fillId="0" borderId="13" xfId="0" applyFont="1" applyBorder="1" applyAlignment="1">
      <alignment wrapText="1"/>
    </xf>
    <xf numFmtId="0" fontId="32" fillId="0" borderId="39" xfId="0" applyFont="1" applyBorder="1" applyAlignment="1">
      <alignment wrapText="1"/>
    </xf>
    <xf numFmtId="164" fontId="31" fillId="14" borderId="11" xfId="0" applyNumberFormat="1" applyFont="1" applyFill="1" applyBorder="1" applyAlignment="1">
      <alignment horizontal="right" vertical="center" wrapText="1"/>
    </xf>
    <xf numFmtId="164" fontId="31" fillId="14" borderId="12" xfId="0" applyNumberFormat="1" applyFont="1" applyFill="1" applyBorder="1" applyAlignment="1">
      <alignment horizontal="right" vertical="center" wrapText="1"/>
    </xf>
    <xf numFmtId="0" fontId="34" fillId="0" borderId="0" xfId="0" applyFont="1" applyFill="1" applyAlignment="1">
      <alignment wrapText="1"/>
    </xf>
    <xf numFmtId="0" fontId="34" fillId="0" borderId="49" xfId="0" applyFont="1" applyFill="1" applyBorder="1" applyAlignment="1">
      <alignment wrapText="1"/>
    </xf>
    <xf numFmtId="0" fontId="34" fillId="0" borderId="84" xfId="0" applyFont="1" applyBorder="1" applyAlignment="1">
      <alignment vertical="center" wrapText="1"/>
    </xf>
    <xf numFmtId="0" fontId="34" fillId="0" borderId="95" xfId="0" applyFont="1" applyBorder="1" applyAlignment="1">
      <alignment vertical="center" wrapText="1"/>
    </xf>
    <xf numFmtId="0" fontId="34" fillId="0" borderId="85" xfId="0" applyFont="1" applyBorder="1" applyAlignment="1">
      <alignment vertical="center" wrapText="1"/>
    </xf>
    <xf numFmtId="0" fontId="32" fillId="0" borderId="49" xfId="0" applyFont="1" applyFill="1" applyBorder="1" applyAlignment="1">
      <alignment wrapText="1"/>
    </xf>
    <xf numFmtId="0" fontId="40" fillId="0" borderId="49" xfId="0" applyFont="1" applyBorder="1" applyAlignment="1">
      <alignment wrapText="1"/>
    </xf>
    <xf numFmtId="0" fontId="31" fillId="14" borderId="11" xfId="0" applyFont="1" applyFill="1" applyBorder="1" applyAlignment="1">
      <alignment vertical="center" wrapText="1"/>
    </xf>
    <xf numFmtId="0" fontId="34" fillId="15" borderId="97" xfId="0" applyFont="1" applyFill="1" applyBorder="1" applyAlignment="1">
      <alignment wrapText="1"/>
    </xf>
    <xf numFmtId="0" fontId="34" fillId="0" borderId="97" xfId="0" applyFont="1" applyFill="1" applyBorder="1" applyAlignment="1">
      <alignment wrapText="1"/>
    </xf>
    <xf numFmtId="0" fontId="34" fillId="0" borderId="97" xfId="0" applyFont="1" applyBorder="1" applyAlignment="1">
      <alignment wrapText="1"/>
    </xf>
    <xf numFmtId="0" fontId="32" fillId="0" borderId="0" xfId="0" applyFont="1" applyFill="1" applyAlignment="1">
      <alignment wrapText="1"/>
    </xf>
    <xf numFmtId="0" fontId="34" fillId="0" borderId="38" xfId="0" applyFont="1" applyFill="1" applyBorder="1" applyAlignment="1">
      <alignment wrapText="1"/>
    </xf>
    <xf numFmtId="0" fontId="34" fillId="0" borderId="7" xfId="0" applyFont="1" applyFill="1" applyBorder="1" applyAlignment="1">
      <alignment wrapText="1"/>
    </xf>
    <xf numFmtId="0" fontId="32" fillId="0" borderId="7" xfId="0" applyFont="1" applyFill="1" applyBorder="1" applyAlignment="1">
      <alignment wrapText="1"/>
    </xf>
    <xf numFmtId="0" fontId="40" fillId="0" borderId="7" xfId="0" applyFont="1" applyFill="1" applyBorder="1" applyAlignment="1">
      <alignment wrapText="1"/>
    </xf>
    <xf numFmtId="0" fontId="34" fillId="0" borderId="12" xfId="0" applyFont="1" applyFill="1" applyBorder="1" applyAlignment="1">
      <alignment wrapText="1"/>
    </xf>
    <xf numFmtId="0" fontId="34" fillId="0" borderId="30" xfId="0" applyFont="1" applyFill="1" applyBorder="1" applyAlignment="1">
      <alignment wrapText="1"/>
    </xf>
    <xf numFmtId="0" fontId="32" fillId="0" borderId="12" xfId="0" applyFont="1" applyFill="1" applyBorder="1"/>
    <xf numFmtId="44" fontId="37" fillId="3" borderId="92" xfId="0" applyNumberFormat="1" applyFont="1" applyFill="1" applyBorder="1" applyAlignment="1">
      <alignment wrapText="1"/>
    </xf>
    <xf numFmtId="44" fontId="37" fillId="3" borderId="93" xfId="0" applyNumberFormat="1" applyFont="1" applyFill="1" applyBorder="1" applyAlignment="1">
      <alignment wrapText="1"/>
    </xf>
    <xf numFmtId="44" fontId="37" fillId="3" borderId="94" xfId="0" applyNumberFormat="1" applyFont="1" applyFill="1" applyBorder="1" applyAlignment="1">
      <alignment wrapText="1"/>
    </xf>
    <xf numFmtId="164" fontId="31" fillId="17" borderId="13" xfId="0" applyNumberFormat="1" applyFont="1" applyFill="1" applyBorder="1" applyAlignment="1">
      <alignment horizontal="right" wrapText="1"/>
    </xf>
    <xf numFmtId="164" fontId="31" fillId="17" borderId="16" xfId="0" applyNumberFormat="1" applyFont="1" applyFill="1" applyBorder="1" applyAlignment="1">
      <alignment horizontal="right" wrapText="1"/>
    </xf>
    <xf numFmtId="164" fontId="35" fillId="0" borderId="15" xfId="0" applyNumberFormat="1" applyFont="1" applyFill="1" applyBorder="1" applyAlignment="1">
      <alignment horizontal="right" wrapText="1"/>
    </xf>
    <xf numFmtId="0" fontId="36" fillId="4" borderId="87" xfId="0" applyFont="1" applyFill="1" applyBorder="1" applyAlignment="1">
      <alignment horizontal="center" wrapText="1"/>
    </xf>
    <xf numFmtId="0" fontId="36" fillId="4" borderId="88" xfId="0" applyFont="1" applyFill="1" applyBorder="1" applyAlignment="1">
      <alignment horizontal="center" wrapText="1"/>
    </xf>
    <xf numFmtId="0" fontId="36" fillId="4" borderId="89" xfId="0" applyFont="1" applyFill="1" applyBorder="1" applyAlignment="1">
      <alignment horizontal="center" wrapText="1"/>
    </xf>
    <xf numFmtId="0" fontId="35" fillId="2" borderId="87" xfId="0" applyFont="1" applyFill="1" applyBorder="1" applyAlignment="1">
      <alignment horizontal="center"/>
    </xf>
    <xf numFmtId="0" fontId="38" fillId="2" borderId="88" xfId="0" applyFont="1" applyFill="1" applyBorder="1" applyAlignment="1">
      <alignment horizontal="center"/>
    </xf>
    <xf numFmtId="0" fontId="38" fillId="2" borderId="89" xfId="0" applyFont="1" applyFill="1" applyBorder="1" applyAlignment="1">
      <alignment horizontal="center"/>
    </xf>
    <xf numFmtId="0" fontId="36" fillId="3" borderId="87" xfId="0" applyFont="1" applyFill="1" applyBorder="1" applyAlignment="1">
      <alignment horizontal="center" wrapText="1"/>
    </xf>
    <xf numFmtId="0" fontId="36" fillId="3" borderId="88" xfId="0" applyFont="1" applyFill="1" applyBorder="1" applyAlignment="1">
      <alignment horizontal="center" wrapText="1"/>
    </xf>
    <xf numFmtId="0" fontId="36" fillId="3" borderId="89" xfId="0" applyFont="1" applyFill="1" applyBorder="1" applyAlignment="1">
      <alignment horizontal="center" wrapText="1"/>
    </xf>
    <xf numFmtId="0" fontId="31" fillId="17" borderId="24" xfId="0" applyFont="1" applyFill="1" applyBorder="1" applyAlignment="1">
      <alignment horizontal="left"/>
    </xf>
    <xf numFmtId="0" fontId="31" fillId="17" borderId="86" xfId="0" applyFont="1" applyFill="1" applyBorder="1" applyAlignment="1">
      <alignment horizontal="left"/>
    </xf>
    <xf numFmtId="0" fontId="37" fillId="3" borderId="24" xfId="0" applyFont="1" applyFill="1" applyBorder="1" applyAlignment="1">
      <alignment horizontal="left" wrapText="1"/>
    </xf>
    <xf numFmtId="0" fontId="37" fillId="3" borderId="86" xfId="0" applyFont="1" applyFill="1" applyBorder="1" applyAlignment="1">
      <alignment horizontal="left" wrapText="1"/>
    </xf>
    <xf numFmtId="0" fontId="36" fillId="3" borderId="24" xfId="0" applyFont="1" applyFill="1" applyBorder="1" applyAlignment="1">
      <alignment horizontal="left" wrapText="1"/>
    </xf>
    <xf numFmtId="0" fontId="36" fillId="3" borderId="25" xfId="0" applyFont="1" applyFill="1" applyBorder="1" applyAlignment="1">
      <alignment horizontal="left" wrapText="1"/>
    </xf>
    <xf numFmtId="0" fontId="36" fillId="3" borderId="4" xfId="0" applyFont="1" applyFill="1" applyBorder="1" applyAlignment="1">
      <alignment horizontal="left" wrapText="1"/>
    </xf>
    <xf numFmtId="0" fontId="36" fillId="4" borderId="24" xfId="0" applyFont="1" applyFill="1" applyBorder="1" applyAlignment="1">
      <alignment horizontal="left" wrapText="1"/>
    </xf>
    <xf numFmtId="0" fontId="36" fillId="4" borderId="86" xfId="0" applyFont="1" applyFill="1" applyBorder="1" applyAlignment="1">
      <alignment horizontal="left" wrapText="1"/>
    </xf>
    <xf numFmtId="0" fontId="36" fillId="3" borderId="8" xfId="0" applyFont="1" applyFill="1" applyBorder="1" applyAlignment="1">
      <alignment horizontal="center" wrapText="1"/>
    </xf>
    <xf numFmtId="0" fontId="36" fillId="3" borderId="9" xfId="0" applyFont="1" applyFill="1" applyBorder="1" applyAlignment="1">
      <alignment horizontal="center" wrapText="1"/>
    </xf>
    <xf numFmtId="0" fontId="36" fillId="3" borderId="10" xfId="0" applyFont="1" applyFill="1" applyBorder="1" applyAlignment="1">
      <alignment horizontal="center" wrapText="1"/>
    </xf>
    <xf numFmtId="0" fontId="31" fillId="17" borderId="8" xfId="0" applyFont="1" applyFill="1" applyBorder="1" applyAlignment="1">
      <alignment horizontal="center"/>
    </xf>
    <xf numFmtId="0" fontId="41" fillId="17" borderId="9" xfId="0" applyFont="1" applyFill="1" applyBorder="1" applyAlignment="1">
      <alignment horizontal="center"/>
    </xf>
    <xf numFmtId="0" fontId="41" fillId="17" borderId="10" xfId="0" applyFont="1" applyFill="1" applyBorder="1" applyAlignment="1">
      <alignment horizontal="center"/>
    </xf>
    <xf numFmtId="0" fontId="34" fillId="0" borderId="97" xfId="0" applyFont="1" applyFill="1" applyBorder="1" applyAlignment="1">
      <alignment horizontal="center" wrapText="1"/>
    </xf>
    <xf numFmtId="0" fontId="31" fillId="18" borderId="25" xfId="0" applyFont="1" applyFill="1" applyBorder="1" applyAlignment="1">
      <alignment horizontal="center"/>
    </xf>
    <xf numFmtId="0" fontId="35" fillId="4" borderId="8" xfId="0" applyFont="1" applyFill="1" applyBorder="1" applyAlignment="1">
      <alignment horizontal="center" wrapText="1"/>
    </xf>
    <xf numFmtId="0" fontId="35" fillId="4" borderId="9" xfId="0" applyFont="1" applyFill="1" applyBorder="1" applyAlignment="1">
      <alignment horizontal="center" wrapText="1"/>
    </xf>
    <xf numFmtId="0" fontId="35" fillId="4" borderId="10" xfId="0" applyFont="1" applyFill="1" applyBorder="1" applyAlignment="1">
      <alignment horizontal="center" wrapText="1"/>
    </xf>
    <xf numFmtId="0" fontId="32" fillId="0" borderId="49" xfId="0" applyFont="1" applyBorder="1" applyAlignment="1">
      <alignment horizontal="left" wrapText="1"/>
    </xf>
    <xf numFmtId="0" fontId="36" fillId="9" borderId="0" xfId="0" applyFont="1" applyFill="1" applyAlignment="1">
      <alignment horizontal="left" wrapText="1"/>
    </xf>
    <xf numFmtId="164" fontId="36" fillId="9" borderId="8" xfId="0" applyNumberFormat="1" applyFont="1" applyFill="1" applyBorder="1" applyAlignment="1">
      <alignment horizontal="center" wrapText="1"/>
    </xf>
    <xf numFmtId="164" fontId="36" fillId="9" borderId="9" xfId="0" applyNumberFormat="1" applyFont="1" applyFill="1" applyBorder="1" applyAlignment="1">
      <alignment horizontal="center" wrapText="1"/>
    </xf>
    <xf numFmtId="164" fontId="36" fillId="9" borderId="10" xfId="0" applyNumberFormat="1" applyFont="1" applyFill="1" applyBorder="1" applyAlignment="1">
      <alignment horizontal="center" wrapText="1"/>
    </xf>
    <xf numFmtId="0" fontId="36" fillId="2" borderId="24" xfId="0" applyFont="1" applyFill="1" applyBorder="1" applyAlignment="1">
      <alignment horizontal="left" wrapText="1"/>
    </xf>
    <xf numFmtId="164" fontId="36" fillId="2" borderId="87" xfId="0" applyNumberFormat="1" applyFont="1" applyFill="1" applyBorder="1" applyAlignment="1">
      <alignment horizontal="center" wrapText="1"/>
    </xf>
    <xf numFmtId="164" fontId="36" fillId="2" borderId="88" xfId="0" applyNumberFormat="1" applyFont="1" applyFill="1" applyBorder="1" applyAlignment="1">
      <alignment horizontal="center" wrapText="1"/>
    </xf>
    <xf numFmtId="164" fontId="36" fillId="2" borderId="89" xfId="0" applyNumberFormat="1" applyFont="1" applyFill="1" applyBorder="1" applyAlignment="1">
      <alignment horizontal="center" wrapText="1"/>
    </xf>
    <xf numFmtId="0" fontId="37" fillId="9" borderId="87" xfId="0" applyFont="1" applyFill="1" applyBorder="1" applyAlignment="1">
      <alignment horizontal="center"/>
    </xf>
    <xf numFmtId="0" fontId="32" fillId="9" borderId="88" xfId="0" applyFont="1" applyFill="1" applyBorder="1" applyAlignment="1">
      <alignment horizontal="center"/>
    </xf>
    <xf numFmtId="0" fontId="32" fillId="9" borderId="89" xfId="0" applyFont="1" applyFill="1" applyBorder="1" applyAlignment="1">
      <alignment horizontal="center"/>
    </xf>
    <xf numFmtId="0" fontId="7" fillId="4" borderId="25"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9" borderId="0" xfId="0" applyFont="1" applyFill="1" applyBorder="1" applyAlignment="1">
      <alignment horizontal="left" wrapText="1"/>
    </xf>
    <xf numFmtId="164" fontId="6" fillId="9" borderId="25" xfId="0" applyNumberFormat="1" applyFont="1" applyFill="1" applyBorder="1" applyAlignment="1">
      <alignment horizontal="center" wrapText="1"/>
    </xf>
    <xf numFmtId="164" fontId="6" fillId="9" borderId="3" xfId="0" applyNumberFormat="1" applyFont="1" applyFill="1" applyBorder="1" applyAlignment="1">
      <alignment horizontal="center" wrapText="1"/>
    </xf>
    <xf numFmtId="164" fontId="6" fillId="9" borderId="4" xfId="0" applyNumberFormat="1" applyFont="1" applyFill="1" applyBorder="1" applyAlignment="1">
      <alignment horizontal="center" wrapText="1"/>
    </xf>
    <xf numFmtId="164" fontId="6" fillId="9" borderId="65" xfId="0" applyNumberFormat="1" applyFont="1" applyFill="1" applyBorder="1" applyAlignment="1">
      <alignment horizontal="center" wrapText="1"/>
    </xf>
    <xf numFmtId="164" fontId="6" fillId="9" borderId="66" xfId="0" applyNumberFormat="1" applyFont="1" applyFill="1" applyBorder="1" applyAlignment="1">
      <alignment horizontal="center" wrapText="1"/>
    </xf>
    <xf numFmtId="164" fontId="6" fillId="9" borderId="67" xfId="0" applyNumberFormat="1" applyFont="1" applyFill="1" applyBorder="1" applyAlignment="1">
      <alignment horizontal="center" wrapText="1"/>
    </xf>
    <xf numFmtId="0" fontId="6" fillId="2" borderId="24" xfId="0" applyFont="1" applyFill="1" applyBorder="1" applyAlignment="1">
      <alignment horizontal="left" wrapText="1"/>
    </xf>
    <xf numFmtId="164" fontId="6" fillId="2" borderId="25" xfId="0" applyNumberFormat="1" applyFont="1" applyFill="1" applyBorder="1" applyAlignment="1">
      <alignment horizontal="center" wrapText="1"/>
    </xf>
    <xf numFmtId="164" fontId="6" fillId="2" borderId="3" xfId="0" applyNumberFormat="1" applyFont="1" applyFill="1" applyBorder="1" applyAlignment="1">
      <alignment horizontal="center" wrapText="1"/>
    </xf>
    <xf numFmtId="164" fontId="6" fillId="2" borderId="4" xfId="0" applyNumberFormat="1" applyFont="1" applyFill="1" applyBorder="1" applyAlignment="1">
      <alignment horizontal="center" wrapText="1"/>
    </xf>
    <xf numFmtId="0" fontId="7" fillId="3" borderId="25" xfId="0" applyFont="1" applyFill="1" applyBorder="1" applyAlignment="1">
      <alignment horizont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18" fillId="17" borderId="25" xfId="0" applyFont="1" applyFill="1" applyBorder="1" applyAlignment="1">
      <alignment horizontal="center"/>
    </xf>
    <xf numFmtId="0" fontId="18" fillId="17" borderId="3" xfId="0" applyFont="1" applyFill="1" applyBorder="1" applyAlignment="1">
      <alignment horizontal="center"/>
    </xf>
    <xf numFmtId="0" fontId="18" fillId="17" borderId="4" xfId="0" applyFont="1" applyFill="1" applyBorder="1" applyAlignment="1">
      <alignment horizontal="center"/>
    </xf>
    <xf numFmtId="0" fontId="9" fillId="15" borderId="55" xfId="0" applyFont="1" applyFill="1" applyBorder="1" applyAlignment="1">
      <alignment horizontal="left" wrapText="1"/>
    </xf>
    <xf numFmtId="0" fontId="9" fillId="15" borderId="49" xfId="0" applyFont="1" applyFill="1" applyBorder="1" applyAlignment="1">
      <alignment horizontal="left" wrapText="1"/>
    </xf>
    <xf numFmtId="0" fontId="11" fillId="23" borderId="50" xfId="0" applyFont="1" applyFill="1" applyBorder="1" applyAlignment="1">
      <alignment horizontal="left" wrapText="1"/>
    </xf>
    <xf numFmtId="0" fontId="11" fillId="0" borderId="49" xfId="0" applyFont="1" applyBorder="1" applyAlignment="1">
      <alignment horizontal="left" wrapText="1"/>
    </xf>
    <xf numFmtId="0" fontId="9" fillId="23" borderId="50" xfId="0" applyFont="1" applyFill="1" applyBorder="1" applyAlignment="1">
      <alignment horizontal="center" wrapText="1"/>
    </xf>
    <xf numFmtId="0" fontId="18" fillId="18" borderId="25" xfId="0" applyFont="1" applyFill="1" applyBorder="1" applyAlignment="1">
      <alignment horizontal="center"/>
    </xf>
    <xf numFmtId="0" fontId="18" fillId="18" borderId="3" xfId="0" applyFont="1" applyFill="1" applyBorder="1" applyAlignment="1">
      <alignment horizontal="center"/>
    </xf>
    <xf numFmtId="0" fontId="18" fillId="18" borderId="4" xfId="0" applyFont="1" applyFill="1" applyBorder="1" applyAlignment="1">
      <alignment horizontal="center"/>
    </xf>
    <xf numFmtId="0" fontId="21" fillId="4" borderId="25" xfId="0" applyFont="1" applyFill="1" applyBorder="1" applyAlignment="1">
      <alignment horizontal="center" wrapText="1"/>
    </xf>
    <xf numFmtId="0" fontId="21" fillId="4" borderId="3" xfId="0" applyFont="1" applyFill="1" applyBorder="1" applyAlignment="1">
      <alignment horizontal="center" wrapText="1"/>
    </xf>
    <xf numFmtId="0" fontId="21" fillId="4" borderId="4"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ocumenttasks/documenttask1.xml><?xml version="1.0" encoding="utf-8"?>
<Tasks xmlns="http://schemas.microsoft.com/office/tasks/2019/documenttasks">
  <Task id="{393AA877-5380-48DB-8081-AABE234DD70A}">
    <Anchor>
      <Comment id="{09DEACD5-BEF5-4404-B2AE-88130CB5E2F8}"/>
    </Anchor>
    <History>
      <Event time="2022-05-06T16:51:19.73" id="{5CF2576D-3B45-4E56-A990-32F9BF291E8C}">
        <Attribution userId="S::samuel.kuntz@sfgov.org::e5908faa-f2da-4c86-85af-83c4b2b7c277" userName="Thomas, Samuel (HOM)" userProvider="AD"/>
        <Anchor>
          <Comment id="{09DEACD5-BEF5-4404-B2AE-88130CB5E2F8}"/>
        </Anchor>
        <Create/>
      </Event>
      <Event time="2022-05-06T16:51:19.73" id="{E52C7D6B-73C2-43CC-9815-063A65398AB5}">
        <Attribution userId="S::samuel.kuntz@sfgov.org::e5908faa-f2da-4c86-85af-83c4b2b7c277" userName="Thomas, Samuel (HOM)" userProvider="AD"/>
        <Anchor>
          <Comment id="{09DEACD5-BEF5-4404-B2AE-88130CB5E2F8}"/>
        </Anchor>
        <Assign userId="S::jessica.shimmin@sfgov.org::9ec1c59c-b3cb-4f13-b667-8f0aa771bd00" userName="Shimmin, Jessica (CON)" userProvider="AD"/>
      </Event>
      <Event time="2022-05-06T16:51:19.73" id="{AF129A4C-858A-4BA6-986C-B551FEC93C1F}">
        <Attribution userId="S::samuel.kuntz@sfgov.org::e5908faa-f2da-4c86-85af-83c4b2b7c277" userName="Thomas, Samuel (HOM)" userProvider="AD"/>
        <Anchor>
          <Comment id="{09DEACD5-BEF5-4404-B2AE-88130CB5E2F8}"/>
        </Anchor>
        <SetTitle title="@Shimmin, Jessica (CON) after updating col h you will needs to adjust I:J"/>
      </Event>
    </History>
  </Task>
  <Task id="{11ECBE8C-2FF8-4231-AC9D-EB66D8F94D85}">
    <Anchor>
      <Comment id="{68AF9C10-8EA2-479A-AB12-4B8EBB626BCC}"/>
    </Anchor>
    <History>
      <Event time="2022-05-06T16:49:55.92" id="{3C88F46D-5FCD-4049-BD33-29A10799871E}">
        <Attribution userId="S::samuel.kuntz@sfgov.org::e5908faa-f2da-4c86-85af-83c4b2b7c277" userName="Thomas, Samuel (HOM)" userProvider="AD"/>
        <Anchor>
          <Comment id="{68AF9C10-8EA2-479A-AB12-4B8EBB626BCC}"/>
        </Anchor>
        <Create/>
      </Event>
      <Event time="2022-05-06T16:49:55.92" id="{46D6741A-2755-4D96-B812-19E7C9B793CA}">
        <Attribution userId="S::samuel.kuntz@sfgov.org::e5908faa-f2da-4c86-85af-83c4b2b7c277" userName="Thomas, Samuel (HOM)" userProvider="AD"/>
        <Anchor>
          <Comment id="{68AF9C10-8EA2-479A-AB12-4B8EBB626BCC}"/>
        </Anchor>
        <Assign userId="S::jessica.shimmin@sfgov.org::9ec1c59c-b3cb-4f13-b667-8f0aa771bd00" userName="Shimmin, Jessica (CON)" userProvider="AD"/>
      </Event>
      <Event time="2022-05-06T16:49:55.92" id="{35283D19-2044-4E38-BBF3-02EEE9EDEA8D}">
        <Attribution userId="S::samuel.kuntz@sfgov.org::e5908faa-f2da-4c86-85af-83c4b2b7c277" userName="Thomas, Samuel (HOM)" userProvider="AD"/>
        <Anchor>
          <Comment id="{68AF9C10-8EA2-479A-AB12-4B8EBB626BCC}"/>
        </Anchor>
        <SetTitle title="@Shimmin, Jessica (CON) this needs to match col C"/>
      </Event>
      <Event time="2022-05-06T16:50:04.67" id="{7639583C-3B54-4AA3-83B9-2CD81F26AA19}">
        <Attribution userId="S::samuel.kuntz@sfgov.org::e5908faa-f2da-4c86-85af-83c4b2b7c277" userName="Thomas, Samuel (HOM)" userProvider="AD"/>
        <Progress percentComplete="100"/>
      </Event>
      <Event time="2022-05-06T16:50:09.01" id="{477B5CE8-C70E-4011-B0E1-8E23DE37B1FE}">
        <Attribution userId="S::samuel.kuntz@sfgov.org::e5908faa-f2da-4c86-85af-83c4b2b7c277" userName="Thomas, Samuel (HOM)" userProvider="AD"/>
        <Progress percentComplete="0"/>
      </Event>
    </History>
  </Task>
</Tasks>
</file>

<file path=xl/documenttasks/documenttask2.xml><?xml version="1.0" encoding="utf-8"?>
<Tasks xmlns="http://schemas.microsoft.com/office/tasks/2019/documenttasks">
  <Task id="{79B96CBA-5319-4033-AF57-418AEB0E62A3}">
    <Anchor>
      <Comment id="{F0F9E01D-472B-4165-80D8-6F2E96B981B7}"/>
    </Anchor>
    <History>
      <Event time="2022-05-03T22:13:09.89" id="{ACF277C2-2E8C-4389-8E88-86CDD2D79D08}">
        <Attribution userId="S::jessica.shimmin@sfgov.org::9ec1c59c-b3cb-4f13-b667-8f0aa771bd00" userName="Shimmin, Jessica (CON)" userProvider="AD"/>
        <Anchor>
          <Comment id="{F0F9E01D-472B-4165-80D8-6F2E96B981B7}"/>
        </Anchor>
        <Create/>
      </Event>
      <Event time="2022-05-03T22:13:09.89" id="{9A5255A9-E1EB-4D48-9797-DC60F03B17E0}">
        <Attribution userId="S::jessica.shimmin@sfgov.org::9ec1c59c-b3cb-4f13-b667-8f0aa771bd00" userName="Shimmin, Jessica (CON)" userProvider="AD"/>
        <Anchor>
          <Comment id="{F0F9E01D-472B-4165-80D8-6F2E96B981B7}"/>
        </Anchor>
        <Assign userId="S::jenny.louie@sfdph.org::e6cd9120-b43e-43a0-b6e1-cd957c4a36aa" userName="Louie, Jenny (DPH)" userProvider="AD"/>
      </Event>
      <Event time="2022-05-03T22:13:09.89" id="{38074449-774B-4C27-B867-CFCCA33D9E59}">
        <Attribution userId="S::jessica.shimmin@sfgov.org::9ec1c59c-b3cb-4f13-b667-8f0aa771bd00" userName="Shimmin, Jessica (CON)" userProvider="AD"/>
        <Anchor>
          <Comment id="{F0F9E01D-472B-4165-80D8-6F2E96B981B7}"/>
        </Anchor>
        <SetTitle title="@Louie, Jenny (DPH) What are these projected available sources?"/>
      </Event>
    </History>
  </Task>
</Tasks>
</file>

<file path=xl/persons/person.xml><?xml version="1.0" encoding="utf-8"?>
<personList xmlns="http://schemas.microsoft.com/office/spreadsheetml/2018/threadedcomments" xmlns:x="http://schemas.openxmlformats.org/spreadsheetml/2006/main">
  <person displayName="Louie, Jenny (DPH)" id="{E498E67B-F9CC-4D06-A693-EA45DE6A1589}" userId="jenny.louie@sfdph.org" providerId="PeoplePicker"/>
  <person displayName="Shimmin, Jessica (CON)" id="{F8C47D09-86D2-48D0-8AF1-89CEE6799D5B}" userId="Shimmin, Jessica (CON)" providerId="None"/>
  <person displayName="Shimmin, Jessica (CON)" id="{5ECD437F-4F29-45C1-B07E-A18CE87C0DE9}" userId="jessica.shimmin@sfgov.org" providerId="PeoplePicker"/>
  <person displayName="Thomas, Samuel (HOM)" id="{4DDFEC82-6D65-4EA2-9B2D-85500DF839F7}" userId="S::samuel.kuntz@sfgov.org::e5908faa-f2da-4c86-85af-83c4b2b7c277" providerId="AD"/>
  <person displayName="Shimmin, Jessica (CON)" id="{2817FE8F-4D32-455A-A279-AA328987BD28}" userId="S::jessica.shimmin@sfgov.org::9ec1c59c-b3cb-4f13-b667-8f0aa771bd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12" dT="2022-05-06T16:51:19.40" personId="{4DDFEC82-6D65-4EA2-9B2D-85500DF839F7}" id="{09DEACD5-BEF5-4404-B2AE-88130CB5E2F8}">
    <text xml:space="preserve">@Shimmin, Jessica (CON) after updating col h you will needs to adjust I:J </text>
    <mentions>
      <mention mentionpersonId="{5ECD437F-4F29-45C1-B07E-A18CE87C0DE9}" mentionId="{D1109005-726D-4451-9DA8-AE2FF98AD87A}" startIndex="0" length="23"/>
    </mentions>
  </threadedComment>
  <threadedComment ref="H130" dT="2022-05-06T16:49:55.56" personId="{4DDFEC82-6D65-4EA2-9B2D-85500DF839F7}" id="{68AF9C10-8EA2-479A-AB12-4B8EBB626BCC}">
    <text>@Shimmin, Jessica (CON)  this needs to match col C</text>
    <mentions>
      <mention mentionpersonId="{5ECD437F-4F29-45C1-B07E-A18CE87C0DE9}" mentionId="{F2A1E140-8587-4BD5-BA48-4ECCBB6E947A}" startIndex="0" length="23"/>
    </mentions>
  </threadedComment>
  <threadedComment ref="C165" dT="2022-04-14T22:26:23.53" personId="{F8C47D09-86D2-48D0-8AF1-89CEE6799D5B}" id="{A341523C-42C2-414F-8CCC-B84FF8411E7F}">
    <text>from the 6 month report</text>
  </threadedComment>
  <threadedComment ref="H165" dT="2022-04-14T22:26:23.53" personId="{F8C47D09-86D2-48D0-8AF1-89CEE6799D5B}" id="{8559E8EA-7516-439E-B201-F3AA7AB60A98}">
    <text>from the 6 month report</text>
  </threadedComment>
</ThreadedComments>
</file>

<file path=xl/threadedComments/threadedComment2.xml><?xml version="1.0" encoding="utf-8"?>
<ThreadedComments xmlns="http://schemas.microsoft.com/office/spreadsheetml/2018/threadedcomments" xmlns:x="http://schemas.openxmlformats.org/spreadsheetml/2006/main">
  <threadedComment ref="C167" dT="2022-04-14T22:26:23.53" personId="{F8C47D09-86D2-48D0-8AF1-89CEE6799D5B}" id="{EB81919B-C1AF-41CE-9BDD-672B7E11D6DF}">
    <text>from the 6 month report</text>
  </threadedComment>
  <threadedComment ref="H167" dT="2022-04-14T22:26:23.53" personId="{F8C47D09-86D2-48D0-8AF1-89CEE6799D5B}" id="{D4D7E6BB-6B1B-44BB-ACA8-46E1B725E260}">
    <text>from the 6 month report</text>
  </threadedComment>
  <threadedComment ref="C179" dT="2022-04-14T22:26:23.53" personId="{F8C47D09-86D2-48D0-8AF1-89CEE6799D5B}" id="{0274CC38-4FBB-4E24-85CF-4931EDB50823}">
    <text>from the 6 month report</text>
  </threadedComment>
  <threadedComment ref="H179" dT="2022-04-14T22:26:23.53" personId="{F8C47D09-86D2-48D0-8AF1-89CEE6799D5B}" id="{25157C22-7397-40D3-8229-D7510BE108C4}">
    <text>from the 6 month report</text>
  </threadedComment>
  <threadedComment ref="B182" dT="2022-05-03T22:13:09.95" personId="{2817FE8F-4D32-455A-A279-AA328987BD28}" id="{F0F9E01D-472B-4165-80D8-6F2E96B981B7}">
    <text xml:space="preserve">@Louie, Jenny (DPH) What are these 
projected available sources? </text>
    <mentions>
      <mention mentionpersonId="{E498E67B-F9CC-4D06-A693-EA45DE6A1589}" mentionId="{9E7B7F01-7D89-4DA2-BE5A-ABC7915D44C9}" startIndex="0" length="19"/>
    </mentions>
  </threadedComment>
  <threadedComment ref="C182" dT="2022-04-14T22:26:23.53" personId="{F8C47D09-86D2-48D0-8AF1-89CEE6799D5B}" id="{7C3FF134-1384-4BDD-9309-64E8B085D0E3}">
    <text>from the 6 month report</text>
  </threadedComment>
  <threadedComment ref="H182" dT="2022-04-14T22:26:23.53" personId="{F8C47D09-86D2-48D0-8AF1-89CEE6799D5B}" id="{441D12CD-AF42-4D51-A020-A004E705C6F6}">
    <text>from the 6 month report</text>
  </threadedComment>
  <threadedComment ref="H185" dT="2022-04-14T22:26:23.53" personId="{F8C47D09-86D2-48D0-8AF1-89CEE6799D5B}" id="{AD60E46F-4515-47B7-9AA1-002B15BBF124}">
    <text>from the 6 month report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27A3-E462-42DC-8B0F-34029DA46312}">
  <dimension ref="A1:S181"/>
  <sheetViews>
    <sheetView tabSelected="1" topLeftCell="A139" zoomScale="150" zoomScaleNormal="150" zoomScaleSheetLayoutView="80" zoomScalePageLayoutView="130" workbookViewId="0">
      <selection activeCell="H173" sqref="H173"/>
    </sheetView>
  </sheetViews>
  <sheetFormatPr defaultColWidth="9.140625" defaultRowHeight="15" x14ac:dyDescent="0.25"/>
  <cols>
    <col min="1" max="1" width="23.140625" style="384" bestFit="1" customWidth="1"/>
    <col min="2" max="2" width="45.85546875" style="384" customWidth="1"/>
    <col min="3" max="3" width="11.7109375" style="411" bestFit="1" customWidth="1"/>
    <col min="4" max="6" width="13.28515625" style="411" customWidth="1"/>
    <col min="7" max="7" width="3.42578125" style="396" customWidth="1"/>
    <col min="8" max="8" width="11.7109375" style="411" bestFit="1" customWidth="1"/>
    <col min="9" max="10" width="12.140625" style="411" customWidth="1"/>
    <col min="11" max="11" width="13.28515625" style="411" bestFit="1" customWidth="1"/>
    <col min="12" max="12" width="67.5703125" style="384" customWidth="1"/>
    <col min="13" max="19" width="9.140625" style="382"/>
    <col min="20" max="16384" width="9.140625" style="384"/>
  </cols>
  <sheetData>
    <row r="1" spans="1:12" ht="15.75" thickBot="1" x14ac:dyDescent="0.3">
      <c r="A1" s="620" t="s">
        <v>402</v>
      </c>
      <c r="B1" s="621"/>
      <c r="C1" s="632" t="s">
        <v>409</v>
      </c>
      <c r="D1" s="633"/>
      <c r="E1" s="633"/>
      <c r="F1" s="634"/>
      <c r="G1" s="383"/>
      <c r="H1" s="636" t="s">
        <v>2</v>
      </c>
      <c r="I1" s="636"/>
      <c r="J1" s="636"/>
      <c r="K1" s="636"/>
      <c r="L1" s="597"/>
    </row>
    <row r="2" spans="1:12" ht="39.75" thickBot="1" x14ac:dyDescent="0.3">
      <c r="A2" s="579" t="s">
        <v>3</v>
      </c>
      <c r="B2" s="580" t="s">
        <v>4</v>
      </c>
      <c r="C2" s="584" t="s">
        <v>5</v>
      </c>
      <c r="D2" s="585" t="s">
        <v>6</v>
      </c>
      <c r="E2" s="585" t="s">
        <v>7</v>
      </c>
      <c r="F2" s="522" t="s">
        <v>8</v>
      </c>
      <c r="G2" s="388"/>
      <c r="H2" s="389" t="s">
        <v>5</v>
      </c>
      <c r="I2" s="390" t="s">
        <v>6</v>
      </c>
      <c r="J2" s="390" t="s">
        <v>7</v>
      </c>
      <c r="K2" s="387" t="s">
        <v>8</v>
      </c>
      <c r="L2" s="391" t="s">
        <v>411</v>
      </c>
    </row>
    <row r="3" spans="1:12" x14ac:dyDescent="0.25">
      <c r="A3" s="581" t="s">
        <v>434</v>
      </c>
      <c r="B3" s="582" t="s">
        <v>12</v>
      </c>
      <c r="C3" s="393">
        <v>0.92500000000000004</v>
      </c>
      <c r="D3" s="394">
        <v>0.92800000000000005</v>
      </c>
      <c r="E3" s="394">
        <v>0.93700000000000006</v>
      </c>
      <c r="F3" s="395">
        <f t="shared" ref="F3:F11" si="0">E3+D3</f>
        <v>1.8650000000000002</v>
      </c>
      <c r="H3" s="393">
        <v>0.92500000000000004</v>
      </c>
      <c r="I3" s="394">
        <v>0.92800000000000005</v>
      </c>
      <c r="J3" s="394">
        <v>0.93700000000000006</v>
      </c>
      <c r="K3" s="395">
        <f t="shared" ref="K3:K11" si="1">J3+I3</f>
        <v>1.8650000000000002</v>
      </c>
      <c r="L3" s="397"/>
    </row>
    <row r="4" spans="1:12" x14ac:dyDescent="0.25">
      <c r="A4" s="581" t="s">
        <v>434</v>
      </c>
      <c r="B4" s="582" t="s">
        <v>13</v>
      </c>
      <c r="C4" s="393">
        <v>7.4999999999999997E-2</v>
      </c>
      <c r="D4" s="394">
        <v>7.4999999999999997E-2</v>
      </c>
      <c r="E4" s="394">
        <v>7.4999999999999997E-2</v>
      </c>
      <c r="F4" s="395">
        <f t="shared" si="0"/>
        <v>0.15</v>
      </c>
      <c r="H4" s="393">
        <v>7.4999999999999997E-2</v>
      </c>
      <c r="I4" s="394">
        <v>7.4999999999999997E-2</v>
      </c>
      <c r="J4" s="394">
        <v>7.4999999999999997E-2</v>
      </c>
      <c r="K4" s="395">
        <f t="shared" si="1"/>
        <v>0.15</v>
      </c>
      <c r="L4" s="398"/>
    </row>
    <row r="5" spans="1:12" x14ac:dyDescent="0.25">
      <c r="A5" s="581" t="s">
        <v>434</v>
      </c>
      <c r="B5" s="582" t="s">
        <v>14</v>
      </c>
      <c r="C5" s="393">
        <v>0.86</v>
      </c>
      <c r="D5" s="394">
        <v>1</v>
      </c>
      <c r="E5" s="394">
        <v>1</v>
      </c>
      <c r="F5" s="395">
        <f t="shared" si="0"/>
        <v>2</v>
      </c>
      <c r="H5" s="393">
        <v>0.86</v>
      </c>
      <c r="I5" s="394">
        <v>1</v>
      </c>
      <c r="J5" s="394">
        <v>1</v>
      </c>
      <c r="K5" s="395">
        <f t="shared" si="1"/>
        <v>2</v>
      </c>
      <c r="L5" s="398"/>
    </row>
    <row r="6" spans="1:12" ht="26.25" x14ac:dyDescent="0.25">
      <c r="A6" s="581" t="s">
        <v>434</v>
      </c>
      <c r="B6" s="582" t="s">
        <v>15</v>
      </c>
      <c r="C6" s="393"/>
      <c r="D6" s="394">
        <v>0</v>
      </c>
      <c r="E6" s="394">
        <v>0</v>
      </c>
      <c r="F6" s="395">
        <f t="shared" si="0"/>
        <v>0</v>
      </c>
      <c r="H6" s="393">
        <v>0</v>
      </c>
      <c r="I6" s="539">
        <v>1</v>
      </c>
      <c r="J6" s="539">
        <v>1</v>
      </c>
      <c r="K6" s="395">
        <f t="shared" si="1"/>
        <v>2</v>
      </c>
      <c r="L6" s="398" t="s">
        <v>412</v>
      </c>
    </row>
    <row r="7" spans="1:12" x14ac:dyDescent="0.25">
      <c r="A7" s="581" t="s">
        <v>434</v>
      </c>
      <c r="B7" s="582" t="s">
        <v>17</v>
      </c>
      <c r="C7" s="393">
        <v>0.15</v>
      </c>
      <c r="D7" s="394">
        <v>0</v>
      </c>
      <c r="E7" s="394">
        <v>0</v>
      </c>
      <c r="F7" s="395">
        <f t="shared" si="0"/>
        <v>0</v>
      </c>
      <c r="H7" s="393">
        <v>0.15</v>
      </c>
      <c r="I7" s="394">
        <v>0</v>
      </c>
      <c r="J7" s="394">
        <v>0</v>
      </c>
      <c r="K7" s="395">
        <f t="shared" si="1"/>
        <v>0</v>
      </c>
      <c r="L7" s="398"/>
    </row>
    <row r="8" spans="1:12" x14ac:dyDescent="0.25">
      <c r="A8" s="581" t="s">
        <v>434</v>
      </c>
      <c r="B8" s="582" t="s">
        <v>18</v>
      </c>
      <c r="C8" s="393">
        <v>0.2</v>
      </c>
      <c r="D8" s="394">
        <v>0.2</v>
      </c>
      <c r="E8" s="394">
        <v>0.2</v>
      </c>
      <c r="F8" s="395">
        <f t="shared" si="0"/>
        <v>0.4</v>
      </c>
      <c r="H8" s="393">
        <v>0.2</v>
      </c>
      <c r="I8" s="394">
        <v>0.2</v>
      </c>
      <c r="J8" s="394">
        <v>0.2</v>
      </c>
      <c r="K8" s="395">
        <f t="shared" si="1"/>
        <v>0.4</v>
      </c>
      <c r="L8" s="398"/>
    </row>
    <row r="9" spans="1:12" x14ac:dyDescent="0.25">
      <c r="A9" s="581" t="s">
        <v>434</v>
      </c>
      <c r="B9" s="582" t="s">
        <v>19</v>
      </c>
      <c r="C9" s="393">
        <v>0.24</v>
      </c>
      <c r="D9" s="394">
        <v>0.247</v>
      </c>
      <c r="E9" s="394">
        <v>0.23799999999999999</v>
      </c>
      <c r="F9" s="395">
        <f t="shared" si="0"/>
        <v>0.48499999999999999</v>
      </c>
      <c r="H9" s="393">
        <v>0.24</v>
      </c>
      <c r="I9" s="394">
        <v>0.247</v>
      </c>
      <c r="J9" s="394">
        <v>0.23799999999999999</v>
      </c>
      <c r="K9" s="395">
        <f t="shared" si="1"/>
        <v>0.48499999999999999</v>
      </c>
      <c r="L9" s="398"/>
    </row>
    <row r="10" spans="1:12" x14ac:dyDescent="0.25">
      <c r="A10" s="583" t="s">
        <v>434</v>
      </c>
      <c r="B10" s="582" t="s">
        <v>435</v>
      </c>
      <c r="C10" s="393">
        <v>0.05</v>
      </c>
      <c r="D10" s="394">
        <v>0.05</v>
      </c>
      <c r="E10" s="394">
        <v>0.05</v>
      </c>
      <c r="F10" s="395">
        <f t="shared" si="0"/>
        <v>0.1</v>
      </c>
      <c r="H10" s="393">
        <v>0.05</v>
      </c>
      <c r="I10" s="394">
        <v>0.05</v>
      </c>
      <c r="J10" s="394">
        <v>0.05</v>
      </c>
      <c r="K10" s="395">
        <f t="shared" si="1"/>
        <v>0.1</v>
      </c>
      <c r="L10" s="398"/>
    </row>
    <row r="11" spans="1:12" x14ac:dyDescent="0.25">
      <c r="A11" s="427"/>
      <c r="B11" s="399" t="s">
        <v>427</v>
      </c>
      <c r="C11" s="400">
        <v>2.5</v>
      </c>
      <c r="D11" s="401">
        <v>2.5</v>
      </c>
      <c r="E11" s="401">
        <v>2.5</v>
      </c>
      <c r="F11" s="402">
        <f t="shared" si="0"/>
        <v>5</v>
      </c>
      <c r="H11" s="400">
        <v>2.5</v>
      </c>
      <c r="I11" s="403">
        <v>3.5</v>
      </c>
      <c r="J11" s="403">
        <v>3.5</v>
      </c>
      <c r="K11" s="402">
        <f t="shared" si="1"/>
        <v>7</v>
      </c>
      <c r="L11" s="382"/>
    </row>
    <row r="12" spans="1:12" x14ac:dyDescent="0.25">
      <c r="A12" s="427"/>
      <c r="B12" s="399" t="s">
        <v>22</v>
      </c>
      <c r="C12" s="400">
        <f>SUM(C3:C10)</f>
        <v>2.5</v>
      </c>
      <c r="D12" s="403">
        <f>SUM(D3:D10)</f>
        <v>2.5</v>
      </c>
      <c r="E12" s="403">
        <f>SUM(E3:E10)</f>
        <v>2.5</v>
      </c>
      <c r="F12" s="608">
        <f>D12+E12</f>
        <v>5</v>
      </c>
      <c r="H12" s="400">
        <f>SUM(H3:H10)</f>
        <v>2.5</v>
      </c>
      <c r="I12" s="403">
        <f>SUM(I3:I10)</f>
        <v>3.5</v>
      </c>
      <c r="J12" s="403">
        <f>SUM(J3:J10)</f>
        <v>3.5</v>
      </c>
      <c r="K12" s="608">
        <f>I12+J12</f>
        <v>7</v>
      </c>
      <c r="L12" s="382"/>
    </row>
    <row r="13" spans="1:12" x14ac:dyDescent="0.25">
      <c r="A13" s="427"/>
      <c r="B13" s="399" t="s">
        <v>23</v>
      </c>
      <c r="C13" s="406"/>
      <c r="D13" s="407"/>
      <c r="E13" s="407"/>
      <c r="F13" s="404"/>
      <c r="H13" s="406"/>
      <c r="I13" s="407"/>
      <c r="J13" s="407"/>
      <c r="K13" s="405"/>
      <c r="L13" s="382"/>
    </row>
    <row r="14" spans="1:12" x14ac:dyDescent="0.25">
      <c r="A14" s="427"/>
      <c r="B14" s="399" t="s">
        <v>24</v>
      </c>
      <c r="C14" s="406"/>
      <c r="D14" s="407"/>
      <c r="E14" s="407"/>
      <c r="F14" s="404"/>
      <c r="H14" s="406"/>
      <c r="I14" s="407"/>
      <c r="J14" s="407"/>
      <c r="K14" s="405"/>
      <c r="L14" s="382"/>
    </row>
    <row r="15" spans="1:12" ht="15.75" thickBot="1" x14ac:dyDescent="0.3">
      <c r="A15" s="427"/>
      <c r="B15" s="399" t="s">
        <v>25</v>
      </c>
      <c r="C15" s="408"/>
      <c r="D15" s="409">
        <v>310.89999999999998</v>
      </c>
      <c r="E15" s="409">
        <v>326</v>
      </c>
      <c r="F15" s="609">
        <f>D15+E15</f>
        <v>636.9</v>
      </c>
      <c r="H15" s="408"/>
      <c r="I15" s="538">
        <v>309.89999999999998</v>
      </c>
      <c r="J15" s="538">
        <v>325</v>
      </c>
      <c r="K15" s="609">
        <f>I15+J15</f>
        <v>634.9</v>
      </c>
      <c r="L15" s="382"/>
    </row>
    <row r="16" spans="1:12" ht="15.75" thickBot="1" x14ac:dyDescent="0.3">
      <c r="A16" s="427"/>
      <c r="B16" s="512"/>
      <c r="C16" s="513"/>
      <c r="D16" s="514"/>
      <c r="E16" s="514"/>
      <c r="F16" s="514"/>
      <c r="H16" s="513"/>
      <c r="I16" s="515"/>
      <c r="J16" s="515"/>
      <c r="K16" s="516"/>
      <c r="L16" s="517"/>
    </row>
    <row r="17" spans="1:12" ht="15.75" customHeight="1" thickBot="1" x14ac:dyDescent="0.3">
      <c r="A17" s="625" t="s">
        <v>403</v>
      </c>
      <c r="B17" s="626"/>
      <c r="C17" s="629" t="s">
        <v>409</v>
      </c>
      <c r="D17" s="630"/>
      <c r="E17" s="630"/>
      <c r="F17" s="631"/>
      <c r="G17" s="412"/>
      <c r="H17" s="629" t="s">
        <v>2</v>
      </c>
      <c r="I17" s="630"/>
      <c r="J17" s="630"/>
      <c r="K17" s="631"/>
      <c r="L17" s="586"/>
    </row>
    <row r="18" spans="1:12" ht="39" x14ac:dyDescent="0.25">
      <c r="A18" s="414" t="s">
        <v>3</v>
      </c>
      <c r="B18" s="386" t="s">
        <v>4</v>
      </c>
      <c r="C18" s="521" t="s">
        <v>5</v>
      </c>
      <c r="D18" s="519" t="s">
        <v>6</v>
      </c>
      <c r="E18" s="519" t="s">
        <v>7</v>
      </c>
      <c r="F18" s="522" t="s">
        <v>8</v>
      </c>
      <c r="G18" s="410"/>
      <c r="H18" s="521" t="s">
        <v>5</v>
      </c>
      <c r="I18" s="519" t="s">
        <v>6</v>
      </c>
      <c r="J18" s="519" t="s">
        <v>7</v>
      </c>
      <c r="K18" s="522" t="s">
        <v>8</v>
      </c>
      <c r="L18" s="391" t="s">
        <v>411</v>
      </c>
    </row>
    <row r="19" spans="1:12" x14ac:dyDescent="0.25">
      <c r="A19" s="415" t="s">
        <v>28</v>
      </c>
      <c r="B19" s="416" t="s">
        <v>29</v>
      </c>
      <c r="C19" s="417">
        <v>8.6</v>
      </c>
      <c r="D19" s="418">
        <f>9.8</f>
        <v>9.8000000000000007</v>
      </c>
      <c r="E19" s="418">
        <v>22</v>
      </c>
      <c r="F19" s="419">
        <f>D19+E19</f>
        <v>31.8</v>
      </c>
      <c r="G19" s="420"/>
      <c r="H19" s="417">
        <v>8.6</v>
      </c>
      <c r="I19" s="421">
        <v>9.8000000000000007</v>
      </c>
      <c r="J19" s="421">
        <v>22</v>
      </c>
      <c r="K19" s="419">
        <f t="shared" ref="K19:K33" si="2">I19+J19</f>
        <v>31.8</v>
      </c>
      <c r="L19" s="422"/>
    </row>
    <row r="20" spans="1:12" ht="26.25" x14ac:dyDescent="0.25">
      <c r="A20" s="415" t="s">
        <v>28</v>
      </c>
      <c r="B20" s="416" t="s">
        <v>32</v>
      </c>
      <c r="C20" s="417"/>
      <c r="D20" s="421">
        <v>8</v>
      </c>
      <c r="E20" s="421">
        <v>8.1999999999999993</v>
      </c>
      <c r="F20" s="524">
        <f>D20+E20</f>
        <v>16.2</v>
      </c>
      <c r="G20" s="420"/>
      <c r="H20" s="417"/>
      <c r="I20" s="535">
        <v>0</v>
      </c>
      <c r="J20" s="535">
        <v>0</v>
      </c>
      <c r="K20" s="419">
        <f t="shared" si="2"/>
        <v>0</v>
      </c>
      <c r="L20" s="398" t="s">
        <v>413</v>
      </c>
    </row>
    <row r="21" spans="1:12" ht="26.25" x14ac:dyDescent="0.25">
      <c r="A21" s="415" t="s">
        <v>35</v>
      </c>
      <c r="B21" s="416" t="s">
        <v>36</v>
      </c>
      <c r="C21" s="417">
        <v>20.3</v>
      </c>
      <c r="D21" s="418">
        <v>21.9</v>
      </c>
      <c r="E21" s="418">
        <v>30.4</v>
      </c>
      <c r="F21" s="419">
        <f>D21+E21</f>
        <v>52.3</v>
      </c>
      <c r="G21" s="420"/>
      <c r="H21" s="417">
        <v>20.3</v>
      </c>
      <c r="I21" s="418">
        <v>21.9</v>
      </c>
      <c r="J21" s="418">
        <v>30.4</v>
      </c>
      <c r="K21" s="419">
        <f t="shared" si="2"/>
        <v>52.3</v>
      </c>
      <c r="L21" s="424"/>
    </row>
    <row r="22" spans="1:12" ht="26.25" x14ac:dyDescent="0.25">
      <c r="A22" s="415" t="s">
        <v>35</v>
      </c>
      <c r="B22" s="416" t="s">
        <v>38</v>
      </c>
      <c r="C22" s="417">
        <v>1.3</v>
      </c>
      <c r="D22" s="418">
        <v>0.6</v>
      </c>
      <c r="E22" s="418">
        <v>1.1000000000000001</v>
      </c>
      <c r="F22" s="419">
        <f>D22+E22</f>
        <v>1.7000000000000002</v>
      </c>
      <c r="G22" s="420"/>
      <c r="H22" s="417">
        <v>1.3</v>
      </c>
      <c r="I22" s="418">
        <v>0.59655924999999999</v>
      </c>
      <c r="J22" s="418">
        <v>1.06952625</v>
      </c>
      <c r="K22" s="419">
        <f t="shared" si="2"/>
        <v>1.6660854999999999</v>
      </c>
      <c r="L22" s="424"/>
    </row>
    <row r="23" spans="1:12" ht="26.25" x14ac:dyDescent="0.25">
      <c r="A23" s="415" t="s">
        <v>35</v>
      </c>
      <c r="B23" s="416" t="s">
        <v>40</v>
      </c>
      <c r="C23" s="417">
        <v>20.8</v>
      </c>
      <c r="D23" s="418">
        <v>6</v>
      </c>
      <c r="E23" s="418">
        <v>8.8000000000000007</v>
      </c>
      <c r="F23" s="419">
        <f>D23+E23</f>
        <v>14.8</v>
      </c>
      <c r="G23" s="420"/>
      <c r="H23" s="417">
        <v>20.8</v>
      </c>
      <c r="I23" s="418">
        <v>5.954987</v>
      </c>
      <c r="J23" s="418">
        <v>8.7570669999999993</v>
      </c>
      <c r="K23" s="419">
        <f t="shared" si="2"/>
        <v>14.712053999999998</v>
      </c>
      <c r="L23" s="424"/>
    </row>
    <row r="24" spans="1:12" ht="26.25" x14ac:dyDescent="0.25">
      <c r="A24" s="602" t="s">
        <v>35</v>
      </c>
      <c r="B24" s="599" t="s">
        <v>438</v>
      </c>
      <c r="C24" s="523">
        <v>0</v>
      </c>
      <c r="D24" s="421">
        <v>0</v>
      </c>
      <c r="E24" s="421">
        <v>0</v>
      </c>
      <c r="F24" s="524">
        <v>0</v>
      </c>
      <c r="G24" s="420"/>
      <c r="H24" s="417">
        <v>0</v>
      </c>
      <c r="I24" s="535">
        <v>2.4</v>
      </c>
      <c r="J24" s="535">
        <f>(2.4*1.03)</f>
        <v>2.472</v>
      </c>
      <c r="K24" s="524">
        <f t="shared" si="2"/>
        <v>4.8719999999999999</v>
      </c>
      <c r="L24" s="425" t="s">
        <v>440</v>
      </c>
    </row>
    <row r="25" spans="1:12" ht="26.25" x14ac:dyDescent="0.25">
      <c r="A25" s="415" t="s">
        <v>35</v>
      </c>
      <c r="B25" s="416" t="s">
        <v>45</v>
      </c>
      <c r="C25" s="417"/>
      <c r="D25" s="418">
        <v>2</v>
      </c>
      <c r="E25" s="418">
        <v>1</v>
      </c>
      <c r="F25" s="419">
        <f t="shared" ref="F25:F32" si="3">D25+E25</f>
        <v>3</v>
      </c>
      <c r="G25" s="420"/>
      <c r="H25" s="417"/>
      <c r="I25" s="418">
        <v>1.9859579999999999</v>
      </c>
      <c r="J25" s="418">
        <v>0.99297899999999995</v>
      </c>
      <c r="K25" s="419">
        <f t="shared" si="2"/>
        <v>2.9789369999999997</v>
      </c>
      <c r="L25" s="424"/>
    </row>
    <row r="26" spans="1:12" x14ac:dyDescent="0.25">
      <c r="A26" s="415" t="s">
        <v>48</v>
      </c>
      <c r="B26" s="416" t="s">
        <v>49</v>
      </c>
      <c r="C26" s="417">
        <v>16.600000000000001</v>
      </c>
      <c r="D26" s="418">
        <v>7.2</v>
      </c>
      <c r="E26" s="418">
        <v>13.2</v>
      </c>
      <c r="F26" s="419">
        <f t="shared" si="3"/>
        <v>20.399999999999999</v>
      </c>
      <c r="G26" s="420"/>
      <c r="H26" s="417">
        <v>16.600000000000001</v>
      </c>
      <c r="I26" s="418">
        <v>7.1710539999999998</v>
      </c>
      <c r="J26" s="418">
        <v>13.191852000000001</v>
      </c>
      <c r="K26" s="419">
        <f t="shared" si="2"/>
        <v>20.362906000000002</v>
      </c>
      <c r="L26" s="424"/>
    </row>
    <row r="27" spans="1:12" x14ac:dyDescent="0.25">
      <c r="A27" s="415" t="s">
        <v>48</v>
      </c>
      <c r="B27" s="416" t="s">
        <v>51</v>
      </c>
      <c r="C27" s="417">
        <v>2.5</v>
      </c>
      <c r="D27" s="418">
        <v>0</v>
      </c>
      <c r="E27" s="418">
        <v>0</v>
      </c>
      <c r="F27" s="419">
        <f t="shared" si="3"/>
        <v>0</v>
      </c>
      <c r="G27" s="420"/>
      <c r="H27" s="417">
        <v>2.5</v>
      </c>
      <c r="I27" s="418">
        <v>0</v>
      </c>
      <c r="J27" s="418">
        <v>0</v>
      </c>
      <c r="K27" s="419">
        <f t="shared" si="2"/>
        <v>0</v>
      </c>
      <c r="L27" s="424"/>
    </row>
    <row r="28" spans="1:12" x14ac:dyDescent="0.25">
      <c r="A28" s="415" t="s">
        <v>53</v>
      </c>
      <c r="B28" s="416" t="s">
        <v>54</v>
      </c>
      <c r="C28" s="417">
        <v>34.1</v>
      </c>
      <c r="D28" s="418">
        <v>32.6</v>
      </c>
      <c r="E28" s="418">
        <v>0</v>
      </c>
      <c r="F28" s="419">
        <f t="shared" si="3"/>
        <v>32.6</v>
      </c>
      <c r="G28" s="420"/>
      <c r="H28" s="417">
        <v>34.1</v>
      </c>
      <c r="I28" s="418">
        <v>32.6</v>
      </c>
      <c r="J28" s="418">
        <v>0</v>
      </c>
      <c r="K28" s="419">
        <f t="shared" si="2"/>
        <v>32.6</v>
      </c>
      <c r="L28" s="424"/>
    </row>
    <row r="29" spans="1:12" x14ac:dyDescent="0.25">
      <c r="A29" s="415" t="s">
        <v>53</v>
      </c>
      <c r="B29" s="416" t="s">
        <v>54</v>
      </c>
      <c r="C29" s="417">
        <v>74.599999999999994</v>
      </c>
      <c r="D29" s="418">
        <v>4.2</v>
      </c>
      <c r="E29" s="520">
        <v>0.8</v>
      </c>
      <c r="F29" s="524">
        <f t="shared" si="3"/>
        <v>5</v>
      </c>
      <c r="G29" s="420"/>
      <c r="H29" s="417">
        <v>74.599999999999994</v>
      </c>
      <c r="I29" s="418">
        <v>4</v>
      </c>
      <c r="J29" s="500">
        <v>0</v>
      </c>
      <c r="K29" s="563">
        <f t="shared" si="2"/>
        <v>4</v>
      </c>
      <c r="L29" s="424" t="s">
        <v>436</v>
      </c>
    </row>
    <row r="30" spans="1:12" x14ac:dyDescent="0.25">
      <c r="A30" s="415" t="s">
        <v>57</v>
      </c>
      <c r="B30" s="416" t="s">
        <v>29</v>
      </c>
      <c r="C30" s="417">
        <v>0.4</v>
      </c>
      <c r="D30" s="418">
        <v>0</v>
      </c>
      <c r="E30" s="418">
        <v>0</v>
      </c>
      <c r="F30" s="419">
        <f t="shared" si="3"/>
        <v>0</v>
      </c>
      <c r="G30" s="420"/>
      <c r="H30" s="417">
        <v>0.4</v>
      </c>
      <c r="I30" s="418">
        <v>0</v>
      </c>
      <c r="J30" s="418">
        <v>0</v>
      </c>
      <c r="K30" s="419">
        <f t="shared" si="2"/>
        <v>0</v>
      </c>
      <c r="L30" s="587"/>
    </row>
    <row r="31" spans="1:12" x14ac:dyDescent="0.25">
      <c r="A31" s="415" t="s">
        <v>57</v>
      </c>
      <c r="B31" s="416" t="s">
        <v>59</v>
      </c>
      <c r="C31" s="417">
        <v>2.6</v>
      </c>
      <c r="D31" s="418">
        <v>0</v>
      </c>
      <c r="E31" s="418">
        <v>0</v>
      </c>
      <c r="F31" s="419">
        <f t="shared" si="3"/>
        <v>0</v>
      </c>
      <c r="G31" s="420"/>
      <c r="H31" s="417">
        <v>2.6</v>
      </c>
      <c r="I31" s="418">
        <v>0</v>
      </c>
      <c r="J31" s="418">
        <v>0</v>
      </c>
      <c r="K31" s="419">
        <f t="shared" si="2"/>
        <v>0</v>
      </c>
      <c r="L31" s="587"/>
    </row>
    <row r="32" spans="1:12" x14ac:dyDescent="0.25">
      <c r="A32" s="415" t="s">
        <v>57</v>
      </c>
      <c r="B32" s="416" t="s">
        <v>60</v>
      </c>
      <c r="C32" s="417">
        <v>4.7</v>
      </c>
      <c r="D32" s="418">
        <v>4.0999999999999996</v>
      </c>
      <c r="E32" s="418">
        <v>4.4000000000000004</v>
      </c>
      <c r="F32" s="419">
        <f t="shared" si="3"/>
        <v>8.5</v>
      </c>
      <c r="G32" s="420"/>
      <c r="H32" s="417">
        <v>4.7</v>
      </c>
      <c r="I32" s="418">
        <v>4.1250000000000009</v>
      </c>
      <c r="J32" s="418">
        <v>4.4249999999999998</v>
      </c>
      <c r="K32" s="419">
        <f t="shared" si="2"/>
        <v>8.5500000000000007</v>
      </c>
      <c r="L32" s="426"/>
    </row>
    <row r="33" spans="1:19" ht="26.25" x14ac:dyDescent="0.25">
      <c r="A33" s="427"/>
      <c r="B33" s="428" t="s">
        <v>428</v>
      </c>
      <c r="C33" s="431">
        <v>186.7</v>
      </c>
      <c r="D33" s="434">
        <v>85.7</v>
      </c>
      <c r="E33" s="434">
        <v>89.8</v>
      </c>
      <c r="F33" s="433">
        <f>D33+E33</f>
        <v>175.5</v>
      </c>
      <c r="G33" s="429"/>
      <c r="H33" s="431">
        <v>186.7</v>
      </c>
      <c r="I33" s="540">
        <v>85.222499999999997</v>
      </c>
      <c r="J33" s="540">
        <v>89.375</v>
      </c>
      <c r="K33" s="433">
        <f t="shared" si="2"/>
        <v>174.5975</v>
      </c>
      <c r="L33" s="586" t="s">
        <v>429</v>
      </c>
    </row>
    <row r="34" spans="1:19" x14ac:dyDescent="0.25">
      <c r="A34" s="427"/>
      <c r="B34" s="430" t="s">
        <v>64</v>
      </c>
      <c r="C34" s="431">
        <v>-11.3</v>
      </c>
      <c r="D34" s="434"/>
      <c r="E34" s="434"/>
      <c r="F34" s="433"/>
      <c r="G34" s="429"/>
      <c r="H34" s="431">
        <v>-11.3</v>
      </c>
      <c r="I34" s="432"/>
      <c r="J34" s="432"/>
      <c r="K34" s="433"/>
      <c r="L34" s="427"/>
    </row>
    <row r="35" spans="1:19" x14ac:dyDescent="0.25">
      <c r="A35" s="427"/>
      <c r="B35" s="430" t="s">
        <v>65</v>
      </c>
      <c r="C35" s="431">
        <f>SUM(C19:C32)</f>
        <v>186.49999999999997</v>
      </c>
      <c r="D35" s="434">
        <f>SUM(D19:D32)</f>
        <v>96.4</v>
      </c>
      <c r="E35" s="434">
        <v>89.8</v>
      </c>
      <c r="F35" s="433"/>
      <c r="G35" s="429"/>
      <c r="H35" s="431">
        <f>SUM(H19:H32)</f>
        <v>186.49999999999997</v>
      </c>
      <c r="I35" s="434">
        <f>SUM(I19:I32)</f>
        <v>90.533558249999999</v>
      </c>
      <c r="J35" s="434">
        <f>SUM(J19:J32)</f>
        <v>83.308424250000002</v>
      </c>
      <c r="K35" s="433">
        <f>J35+I35</f>
        <v>173.8419825</v>
      </c>
      <c r="L35" s="427"/>
    </row>
    <row r="36" spans="1:19" x14ac:dyDescent="0.25">
      <c r="A36" s="427"/>
      <c r="B36" s="430" t="s">
        <v>66</v>
      </c>
      <c r="C36" s="431">
        <v>-146.6</v>
      </c>
      <c r="D36" s="434"/>
      <c r="E36" s="434"/>
      <c r="F36" s="433"/>
      <c r="G36" s="429"/>
      <c r="H36" s="431">
        <v>-146.6</v>
      </c>
      <c r="I36" s="434"/>
      <c r="J36" s="434"/>
      <c r="K36" s="433"/>
      <c r="L36" s="427"/>
    </row>
    <row r="37" spans="1:19" x14ac:dyDescent="0.25">
      <c r="A37" s="427"/>
      <c r="B37" s="430" t="s">
        <v>68</v>
      </c>
      <c r="C37" s="431"/>
      <c r="D37" s="434">
        <v>9</v>
      </c>
      <c r="E37" s="434"/>
      <c r="F37" s="433"/>
      <c r="G37" s="429"/>
      <c r="H37" s="431">
        <v>0</v>
      </c>
      <c r="I37" s="434">
        <v>9</v>
      </c>
      <c r="J37" s="434"/>
      <c r="K37" s="433">
        <f>I37</f>
        <v>9</v>
      </c>
      <c r="L37" s="427"/>
    </row>
    <row r="38" spans="1:19" x14ac:dyDescent="0.25">
      <c r="A38" s="427"/>
      <c r="B38" s="430" t="s">
        <v>70</v>
      </c>
      <c r="C38" s="435">
        <f>C33+C34+C36</f>
        <v>28.799999999999983</v>
      </c>
      <c r="D38" s="434">
        <f>D33-D35-D37</f>
        <v>-19.700000000000003</v>
      </c>
      <c r="E38" s="434"/>
      <c r="F38" s="433"/>
      <c r="G38" s="429"/>
      <c r="H38" s="435">
        <f>H33+H34+H36</f>
        <v>28.799999999999983</v>
      </c>
      <c r="I38" s="434">
        <f>I33-I35-I37</f>
        <v>-14.311058250000002</v>
      </c>
      <c r="J38" s="434">
        <f>J33-J35</f>
        <v>6.0665757499999984</v>
      </c>
      <c r="K38" s="433"/>
      <c r="L38" s="436"/>
    </row>
    <row r="39" spans="1:19" x14ac:dyDescent="0.25">
      <c r="A39" s="427"/>
      <c r="B39" s="437" t="s">
        <v>71</v>
      </c>
      <c r="C39" s="435">
        <f>C38</f>
        <v>28.799999999999983</v>
      </c>
      <c r="D39" s="434">
        <f>C39+D38</f>
        <v>9.0999999999999801</v>
      </c>
      <c r="E39" s="434"/>
      <c r="F39" s="433"/>
      <c r="G39" s="429"/>
      <c r="H39" s="435">
        <f>H38</f>
        <v>28.799999999999983</v>
      </c>
      <c r="I39" s="434"/>
      <c r="J39" s="434"/>
      <c r="K39" s="433"/>
      <c r="L39" s="436"/>
    </row>
    <row r="40" spans="1:19" ht="15.75" thickBot="1" x14ac:dyDescent="0.3">
      <c r="A40" s="427"/>
      <c r="B40" s="438" t="s">
        <v>73</v>
      </c>
      <c r="C40" s="439">
        <v>0</v>
      </c>
      <c r="D40" s="440"/>
      <c r="E40" s="440"/>
      <c r="F40" s="441"/>
      <c r="G40" s="429"/>
      <c r="H40" s="439">
        <v>0</v>
      </c>
      <c r="I40" s="440">
        <v>0</v>
      </c>
      <c r="J40" s="440">
        <v>0</v>
      </c>
      <c r="K40" s="441"/>
    </row>
    <row r="41" spans="1:19" x14ac:dyDescent="0.25">
      <c r="A41" s="427"/>
      <c r="B41" s="442"/>
      <c r="C41" s="443"/>
      <c r="D41" s="444"/>
      <c r="E41" s="444"/>
      <c r="F41" s="444"/>
      <c r="G41" s="429"/>
      <c r="H41" s="443"/>
      <c r="I41" s="444"/>
      <c r="J41" s="444"/>
      <c r="K41" s="444"/>
      <c r="L41" s="427"/>
    </row>
    <row r="42" spans="1:19" ht="15.75" thickBot="1" x14ac:dyDescent="0.3">
      <c r="A42" s="427"/>
      <c r="B42" s="442"/>
      <c r="C42" s="443"/>
      <c r="D42" s="444"/>
      <c r="E42" s="444"/>
      <c r="F42" s="444"/>
      <c r="G42" s="429"/>
      <c r="H42" s="443"/>
      <c r="I42" s="444"/>
      <c r="J42" s="444"/>
      <c r="K42" s="444"/>
      <c r="L42" s="427"/>
    </row>
    <row r="43" spans="1:19" s="427" customFormat="1" ht="15.75" customHeight="1" thickTop="1" thickBot="1" x14ac:dyDescent="0.3">
      <c r="A43" s="624" t="s">
        <v>404</v>
      </c>
      <c r="B43" s="624"/>
      <c r="C43" s="617" t="s">
        <v>409</v>
      </c>
      <c r="D43" s="618"/>
      <c r="E43" s="618"/>
      <c r="F43" s="619"/>
      <c r="G43" s="412"/>
      <c r="H43" s="617" t="s">
        <v>2</v>
      </c>
      <c r="I43" s="618"/>
      <c r="J43" s="618"/>
      <c r="K43" s="619"/>
      <c r="L43" s="586"/>
      <c r="M43" s="382"/>
      <c r="N43" s="382"/>
      <c r="O43" s="382"/>
      <c r="P43" s="382"/>
      <c r="Q43" s="382"/>
      <c r="R43" s="382"/>
      <c r="S43" s="382"/>
    </row>
    <row r="44" spans="1:19" ht="39" x14ac:dyDescent="0.25">
      <c r="A44" s="414" t="s">
        <v>3</v>
      </c>
      <c r="B44" s="386" t="s">
        <v>4</v>
      </c>
      <c r="C44" s="525" t="s">
        <v>5</v>
      </c>
      <c r="D44" s="519" t="s">
        <v>6</v>
      </c>
      <c r="E44" s="519" t="s">
        <v>7</v>
      </c>
      <c r="F44" s="526" t="s">
        <v>8</v>
      </c>
      <c r="G44" s="410"/>
      <c r="H44" s="525" t="s">
        <v>5</v>
      </c>
      <c r="I44" s="519" t="s">
        <v>6</v>
      </c>
      <c r="J44" s="519" t="s">
        <v>7</v>
      </c>
      <c r="K44" s="526" t="s">
        <v>8</v>
      </c>
      <c r="L44" s="391" t="s">
        <v>411</v>
      </c>
    </row>
    <row r="45" spans="1:19" x14ac:dyDescent="0.25">
      <c r="A45" s="415" t="s">
        <v>53</v>
      </c>
      <c r="B45" s="416" t="s">
        <v>75</v>
      </c>
      <c r="C45" s="527">
        <v>89.1</v>
      </c>
      <c r="D45" s="520">
        <v>13.9</v>
      </c>
      <c r="E45" s="520">
        <v>14.5</v>
      </c>
      <c r="F45" s="573">
        <f t="shared" ref="F45:F50" si="4">D45+E45</f>
        <v>28.4</v>
      </c>
      <c r="G45" s="420"/>
      <c r="H45" s="527">
        <v>89.1</v>
      </c>
      <c r="I45" s="421">
        <v>0</v>
      </c>
      <c r="J45" s="421">
        <v>0</v>
      </c>
      <c r="K45" s="573">
        <f t="shared" ref="K45:K54" si="5">J45+I45</f>
        <v>0</v>
      </c>
      <c r="L45" s="398" t="s">
        <v>441</v>
      </c>
    </row>
    <row r="46" spans="1:19" ht="26.25" x14ac:dyDescent="0.25">
      <c r="A46" s="415" t="s">
        <v>28</v>
      </c>
      <c r="B46" s="416" t="s">
        <v>32</v>
      </c>
      <c r="C46" s="527"/>
      <c r="D46" s="421">
        <v>1</v>
      </c>
      <c r="E46" s="421">
        <v>1</v>
      </c>
      <c r="F46" s="573">
        <f t="shared" si="4"/>
        <v>2</v>
      </c>
      <c r="G46" s="420"/>
      <c r="H46" s="527"/>
      <c r="I46" s="535">
        <v>0</v>
      </c>
      <c r="J46" s="535">
        <v>0</v>
      </c>
      <c r="K46" s="573">
        <f t="shared" si="5"/>
        <v>0</v>
      </c>
      <c r="L46" s="398" t="s">
        <v>413</v>
      </c>
    </row>
    <row r="47" spans="1:19" x14ac:dyDescent="0.25">
      <c r="A47" s="415" t="s">
        <v>28</v>
      </c>
      <c r="B47" s="416" t="s">
        <v>79</v>
      </c>
      <c r="C47" s="527">
        <v>4.5</v>
      </c>
      <c r="D47" s="418">
        <v>5.4</v>
      </c>
      <c r="E47" s="418">
        <v>7.4</v>
      </c>
      <c r="F47" s="528">
        <f t="shared" si="4"/>
        <v>12.8</v>
      </c>
      <c r="G47" s="420"/>
      <c r="H47" s="527">
        <v>4.5</v>
      </c>
      <c r="I47" s="418">
        <v>5.3784000000000001</v>
      </c>
      <c r="J47" s="418">
        <v>7.4397520000000004</v>
      </c>
      <c r="K47" s="528">
        <f t="shared" si="5"/>
        <v>12.818152000000001</v>
      </c>
      <c r="L47" s="424"/>
    </row>
    <row r="48" spans="1:19" ht="26.25" x14ac:dyDescent="0.25">
      <c r="A48" s="415" t="s">
        <v>35</v>
      </c>
      <c r="B48" s="416" t="s">
        <v>81</v>
      </c>
      <c r="C48" s="527">
        <v>0.5</v>
      </c>
      <c r="D48" s="418">
        <v>0.5</v>
      </c>
      <c r="E48" s="418">
        <v>0.5</v>
      </c>
      <c r="F48" s="573">
        <f t="shared" si="4"/>
        <v>1</v>
      </c>
      <c r="G48" s="420"/>
      <c r="H48" s="527">
        <v>0.5</v>
      </c>
      <c r="I48" s="418">
        <v>0.52474500000000002</v>
      </c>
      <c r="J48" s="418">
        <v>0.52474500000000002</v>
      </c>
      <c r="K48" s="528">
        <f t="shared" si="5"/>
        <v>1.04949</v>
      </c>
      <c r="L48" s="424"/>
    </row>
    <row r="49" spans="1:19" ht="26.25" x14ac:dyDescent="0.25">
      <c r="A49" s="415" t="s">
        <v>35</v>
      </c>
      <c r="B49" s="416" t="s">
        <v>83</v>
      </c>
      <c r="C49" s="527">
        <v>3.2</v>
      </c>
      <c r="D49" s="418">
        <v>1.5</v>
      </c>
      <c r="E49" s="418">
        <v>2.2999999999999998</v>
      </c>
      <c r="F49" s="528">
        <f t="shared" si="4"/>
        <v>3.8</v>
      </c>
      <c r="G49" s="420"/>
      <c r="H49" s="527">
        <v>3.2</v>
      </c>
      <c r="I49" s="418">
        <v>1.4593287099999999</v>
      </c>
      <c r="J49" s="418">
        <v>2.2764261800000001</v>
      </c>
      <c r="K49" s="528">
        <f t="shared" si="5"/>
        <v>3.7357548899999999</v>
      </c>
      <c r="L49" s="424" t="s">
        <v>414</v>
      </c>
    </row>
    <row r="50" spans="1:19" x14ac:dyDescent="0.25">
      <c r="A50" s="415" t="s">
        <v>48</v>
      </c>
      <c r="B50" s="416" t="s">
        <v>86</v>
      </c>
      <c r="C50" s="527">
        <v>5.6</v>
      </c>
      <c r="D50" s="418">
        <v>6.2</v>
      </c>
      <c r="E50" s="418">
        <v>5.3</v>
      </c>
      <c r="F50" s="528">
        <f t="shared" si="4"/>
        <v>11.5</v>
      </c>
      <c r="G50" s="420"/>
      <c r="H50" s="527">
        <v>5.6</v>
      </c>
      <c r="I50" s="418">
        <v>6.2283324999999996</v>
      </c>
      <c r="J50" s="418">
        <v>5.2744916500000008</v>
      </c>
      <c r="K50" s="528">
        <f t="shared" si="5"/>
        <v>11.50282415</v>
      </c>
      <c r="L50" s="424"/>
    </row>
    <row r="51" spans="1:19" x14ac:dyDescent="0.25">
      <c r="A51" s="415" t="s">
        <v>57</v>
      </c>
      <c r="B51" s="416" t="s">
        <v>59</v>
      </c>
      <c r="C51" s="527">
        <v>0.03</v>
      </c>
      <c r="D51" s="418"/>
      <c r="E51" s="418"/>
      <c r="F51" s="528"/>
      <c r="G51" s="420"/>
      <c r="H51" s="527">
        <v>0.03</v>
      </c>
      <c r="I51" s="418">
        <v>0</v>
      </c>
      <c r="J51" s="418">
        <v>0</v>
      </c>
      <c r="K51" s="528">
        <f t="shared" si="5"/>
        <v>0</v>
      </c>
      <c r="L51" s="424"/>
    </row>
    <row r="52" spans="1:19" x14ac:dyDescent="0.25">
      <c r="A52" s="415" t="s">
        <v>57</v>
      </c>
      <c r="B52" s="416" t="s">
        <v>60</v>
      </c>
      <c r="C52" s="527"/>
      <c r="D52" s="418">
        <v>1.5</v>
      </c>
      <c r="E52" s="418">
        <v>1.5</v>
      </c>
      <c r="F52" s="528">
        <f>D52+E52</f>
        <v>3</v>
      </c>
      <c r="G52" s="420"/>
      <c r="H52" s="527"/>
      <c r="I52" s="418">
        <v>1.5</v>
      </c>
      <c r="J52" s="418">
        <v>1.5449999999999999</v>
      </c>
      <c r="K52" s="528">
        <f t="shared" si="5"/>
        <v>3.0449999999999999</v>
      </c>
      <c r="L52" s="424"/>
    </row>
    <row r="53" spans="1:19" x14ac:dyDescent="0.25">
      <c r="A53" s="415" t="s">
        <v>57</v>
      </c>
      <c r="B53" s="416" t="s">
        <v>90</v>
      </c>
      <c r="C53" s="527"/>
      <c r="D53" s="418">
        <v>1</v>
      </c>
      <c r="E53" s="418">
        <v>0</v>
      </c>
      <c r="F53" s="528">
        <f>D53+E53</f>
        <v>1</v>
      </c>
      <c r="G53" s="420"/>
      <c r="H53" s="527"/>
      <c r="I53" s="418">
        <v>1</v>
      </c>
      <c r="J53" s="418">
        <v>0</v>
      </c>
      <c r="K53" s="528">
        <f t="shared" si="5"/>
        <v>1</v>
      </c>
      <c r="L53" s="426"/>
    </row>
    <row r="54" spans="1:19" ht="26.25" x14ac:dyDescent="0.25">
      <c r="A54" s="445"/>
      <c r="B54" s="446" t="s">
        <v>430</v>
      </c>
      <c r="C54" s="530">
        <v>102.4</v>
      </c>
      <c r="D54" s="432">
        <v>31</v>
      </c>
      <c r="E54" s="432">
        <v>32.5</v>
      </c>
      <c r="F54" s="529">
        <f>D54+E54</f>
        <v>63.5</v>
      </c>
      <c r="G54" s="429"/>
      <c r="H54" s="530">
        <v>102.4</v>
      </c>
      <c r="I54" s="540">
        <f>0.2*(0.5*I15)</f>
        <v>30.99</v>
      </c>
      <c r="J54" s="540">
        <f>0.2*(0.5*J15)</f>
        <v>32.5</v>
      </c>
      <c r="K54" s="529">
        <f t="shared" si="5"/>
        <v>63.489999999999995</v>
      </c>
      <c r="L54" s="586" t="s">
        <v>429</v>
      </c>
    </row>
    <row r="55" spans="1:19" x14ac:dyDescent="0.25">
      <c r="A55" s="445"/>
      <c r="B55" s="430" t="s">
        <v>92</v>
      </c>
      <c r="C55" s="530">
        <v>-4.0999999999999996</v>
      </c>
      <c r="D55" s="432"/>
      <c r="E55" s="432"/>
      <c r="F55" s="529"/>
      <c r="G55" s="429"/>
      <c r="H55" s="530">
        <v>-4.0999999999999996</v>
      </c>
      <c r="I55" s="432"/>
      <c r="J55" s="432"/>
      <c r="K55" s="529"/>
      <c r="L55" s="445"/>
    </row>
    <row r="56" spans="1:19" x14ac:dyDescent="0.25">
      <c r="A56" s="445"/>
      <c r="B56" s="430" t="s">
        <v>93</v>
      </c>
      <c r="C56" s="530">
        <f>SUM(C45:C53)</f>
        <v>102.92999999999999</v>
      </c>
      <c r="D56" s="434">
        <f>SUM(D45:D53)</f>
        <v>31</v>
      </c>
      <c r="E56" s="434">
        <f>SUM(E45:E53)</f>
        <v>32.5</v>
      </c>
      <c r="F56" s="531">
        <f>D56+E56</f>
        <v>63.5</v>
      </c>
      <c r="G56" s="429"/>
      <c r="H56" s="530">
        <v>102.9</v>
      </c>
      <c r="I56" s="434">
        <f>SUM(I45:I53)</f>
        <v>16.09080621</v>
      </c>
      <c r="J56" s="434">
        <f>SUM(J45:J53)</f>
        <v>17.060414829999999</v>
      </c>
      <c r="K56" s="531">
        <f>I56+J56</f>
        <v>33.151221039999996</v>
      </c>
      <c r="L56" s="445"/>
    </row>
    <row r="57" spans="1:19" x14ac:dyDescent="0.25">
      <c r="A57" s="445"/>
      <c r="B57" s="430" t="s">
        <v>94</v>
      </c>
      <c r="C57" s="530">
        <v>-37.799999999999997</v>
      </c>
      <c r="D57" s="434"/>
      <c r="E57" s="434"/>
      <c r="F57" s="531"/>
      <c r="G57" s="429"/>
      <c r="H57" s="530">
        <v>-37.799999999999997</v>
      </c>
      <c r="I57" s="434"/>
      <c r="J57" s="434"/>
      <c r="K57" s="531"/>
      <c r="L57" s="445"/>
    </row>
    <row r="58" spans="1:19" x14ac:dyDescent="0.25">
      <c r="A58" s="445"/>
      <c r="B58" s="430" t="s">
        <v>95</v>
      </c>
      <c r="C58" s="530"/>
      <c r="D58" s="434">
        <v>3.1</v>
      </c>
      <c r="E58" s="434"/>
      <c r="F58" s="531">
        <f>D58</f>
        <v>3.1</v>
      </c>
      <c r="G58" s="429"/>
      <c r="H58" s="530"/>
      <c r="I58" s="434">
        <v>3.1</v>
      </c>
      <c r="J58" s="434"/>
      <c r="K58" s="531">
        <f>I58</f>
        <v>3.1</v>
      </c>
      <c r="L58" s="445"/>
    </row>
    <row r="59" spans="1:19" x14ac:dyDescent="0.25">
      <c r="A59" s="445"/>
      <c r="B59" s="448" t="s">
        <v>97</v>
      </c>
      <c r="C59" s="530">
        <f>(C54+C55+C57)-C60</f>
        <v>2.1000000000000156</v>
      </c>
      <c r="D59" s="434">
        <f>D54-D56-D58</f>
        <v>-3.1</v>
      </c>
      <c r="E59" s="434"/>
      <c r="F59" s="531"/>
      <c r="G59" s="429"/>
      <c r="H59" s="530">
        <f>(H54+H55+H57)-H60</f>
        <v>2.1000000000000156</v>
      </c>
      <c r="I59" s="434">
        <f>I54-I56-I58</f>
        <v>11.799193789999999</v>
      </c>
      <c r="J59" s="434">
        <f>J54-J56</f>
        <v>15.439585170000001</v>
      </c>
      <c r="K59" s="531">
        <f>H59+I59+J59</f>
        <v>29.338778960000013</v>
      </c>
      <c r="L59" s="436"/>
    </row>
    <row r="60" spans="1:19" ht="15.75" thickBot="1" x14ac:dyDescent="0.3">
      <c r="A60" s="445"/>
      <c r="B60" s="449" t="s">
        <v>98</v>
      </c>
      <c r="C60" s="532">
        <v>58.4</v>
      </c>
      <c r="D60" s="533">
        <f>D45</f>
        <v>13.9</v>
      </c>
      <c r="E60" s="533">
        <f>E45</f>
        <v>14.5</v>
      </c>
      <c r="F60" s="534">
        <f>C60+D60+E60</f>
        <v>86.8</v>
      </c>
      <c r="G60" s="429"/>
      <c r="H60" s="532">
        <v>58.4</v>
      </c>
      <c r="I60" s="533"/>
      <c r="J60" s="533"/>
      <c r="K60" s="534">
        <f>H60</f>
        <v>58.4</v>
      </c>
      <c r="L60" s="445"/>
    </row>
    <row r="61" spans="1:19" s="427" customFormat="1" x14ac:dyDescent="0.25">
      <c r="A61" s="445"/>
      <c r="B61" s="450"/>
      <c r="C61" s="451"/>
      <c r="D61" s="452"/>
      <c r="E61" s="452"/>
      <c r="F61" s="452"/>
      <c r="G61" s="452"/>
      <c r="H61" s="453"/>
      <c r="I61" s="452"/>
      <c r="J61" s="452"/>
      <c r="K61" s="452"/>
      <c r="L61" s="445"/>
      <c r="M61" s="382"/>
      <c r="N61" s="382"/>
      <c r="O61" s="382"/>
      <c r="P61" s="382"/>
      <c r="Q61" s="382"/>
      <c r="R61" s="382"/>
      <c r="S61" s="382"/>
    </row>
    <row r="62" spans="1:19" s="427" customFormat="1" ht="15.75" thickBot="1" x14ac:dyDescent="0.3">
      <c r="A62" s="445"/>
      <c r="B62" s="450"/>
      <c r="C62" s="452"/>
      <c r="D62" s="452"/>
      <c r="E62" s="452"/>
      <c r="F62" s="452"/>
      <c r="G62" s="452"/>
      <c r="H62" s="452"/>
      <c r="I62" s="452"/>
      <c r="J62" s="452"/>
      <c r="K62" s="452"/>
      <c r="L62" s="445"/>
      <c r="M62" s="382"/>
      <c r="N62" s="382"/>
      <c r="O62" s="382"/>
      <c r="P62" s="382"/>
      <c r="Q62" s="382"/>
      <c r="R62" s="382"/>
      <c r="S62" s="382"/>
    </row>
    <row r="63" spans="1:19" s="427" customFormat="1" ht="16.5" customHeight="1" thickTop="1" thickBot="1" x14ac:dyDescent="0.3">
      <c r="A63" s="622" t="s">
        <v>405</v>
      </c>
      <c r="B63" s="623"/>
      <c r="C63" s="617" t="s">
        <v>409</v>
      </c>
      <c r="D63" s="618"/>
      <c r="E63" s="618"/>
      <c r="F63" s="619"/>
      <c r="G63" s="412"/>
      <c r="H63" s="629" t="s">
        <v>2</v>
      </c>
      <c r="I63" s="630"/>
      <c r="J63" s="630"/>
      <c r="K63" s="631"/>
      <c r="L63" s="586"/>
      <c r="M63" s="382"/>
      <c r="N63" s="382"/>
      <c r="O63" s="382"/>
      <c r="P63" s="382"/>
      <c r="Q63" s="382"/>
      <c r="R63" s="382"/>
      <c r="S63" s="382"/>
    </row>
    <row r="64" spans="1:19" ht="39.75" thickBot="1" x14ac:dyDescent="0.3">
      <c r="A64" s="385" t="s">
        <v>3</v>
      </c>
      <c r="B64" s="386" t="s">
        <v>4</v>
      </c>
      <c r="C64" s="525" t="s">
        <v>5</v>
      </c>
      <c r="D64" s="519" t="s">
        <v>6</v>
      </c>
      <c r="E64" s="519" t="s">
        <v>7</v>
      </c>
      <c r="F64" s="526" t="s">
        <v>8</v>
      </c>
      <c r="G64" s="410"/>
      <c r="H64" s="521" t="s">
        <v>5</v>
      </c>
      <c r="I64" s="519" t="s">
        <v>6</v>
      </c>
      <c r="J64" s="519" t="s">
        <v>7</v>
      </c>
      <c r="K64" s="522" t="s">
        <v>8</v>
      </c>
      <c r="L64" s="391" t="s">
        <v>411</v>
      </c>
    </row>
    <row r="65" spans="1:12" ht="26.25" x14ac:dyDescent="0.25">
      <c r="A65" s="454" t="s">
        <v>53</v>
      </c>
      <c r="B65" s="416" t="s">
        <v>100</v>
      </c>
      <c r="C65" s="527">
        <v>106.5</v>
      </c>
      <c r="D65" s="520">
        <v>13</v>
      </c>
      <c r="E65" s="520">
        <v>13.8</v>
      </c>
      <c r="F65" s="573">
        <f t="shared" ref="F65:F70" si="6">D65+E65</f>
        <v>26.8</v>
      </c>
      <c r="G65" s="420"/>
      <c r="H65" s="417">
        <v>106.5</v>
      </c>
      <c r="I65" s="421">
        <v>0</v>
      </c>
      <c r="J65" s="421">
        <v>0</v>
      </c>
      <c r="K65" s="524">
        <f t="shared" ref="K65:K77" si="7">I65+J65</f>
        <v>0</v>
      </c>
      <c r="L65" s="398" t="s">
        <v>437</v>
      </c>
    </row>
    <row r="66" spans="1:12" x14ac:dyDescent="0.25">
      <c r="A66" s="455" t="s">
        <v>53</v>
      </c>
      <c r="B66" s="416" t="s">
        <v>102</v>
      </c>
      <c r="C66" s="527"/>
      <c r="D66" s="418">
        <v>8</v>
      </c>
      <c r="E66" s="418">
        <v>0</v>
      </c>
      <c r="F66" s="528">
        <f t="shared" si="6"/>
        <v>8</v>
      </c>
      <c r="G66" s="420"/>
      <c r="H66" s="417"/>
      <c r="I66" s="418">
        <v>8</v>
      </c>
      <c r="J66" s="418">
        <v>0</v>
      </c>
      <c r="K66" s="419">
        <f t="shared" si="7"/>
        <v>8</v>
      </c>
      <c r="L66" s="422"/>
    </row>
    <row r="67" spans="1:12" x14ac:dyDescent="0.25">
      <c r="A67" s="455" t="s">
        <v>28</v>
      </c>
      <c r="B67" s="416" t="s">
        <v>104</v>
      </c>
      <c r="C67" s="527">
        <v>5</v>
      </c>
      <c r="D67" s="418">
        <v>6.3</v>
      </c>
      <c r="E67" s="418">
        <v>6.5</v>
      </c>
      <c r="F67" s="528">
        <f t="shared" si="6"/>
        <v>12.8</v>
      </c>
      <c r="G67" s="420"/>
      <c r="H67" s="417">
        <v>5</v>
      </c>
      <c r="I67" s="418">
        <v>6.3</v>
      </c>
      <c r="J67" s="418">
        <v>6.5</v>
      </c>
      <c r="K67" s="419">
        <f t="shared" si="7"/>
        <v>12.8</v>
      </c>
      <c r="L67" s="424"/>
    </row>
    <row r="68" spans="1:12" ht="26.25" x14ac:dyDescent="0.25">
      <c r="A68" s="415" t="s">
        <v>28</v>
      </c>
      <c r="B68" s="416" t="s">
        <v>32</v>
      </c>
      <c r="C68" s="527"/>
      <c r="D68" s="421">
        <v>3.2</v>
      </c>
      <c r="E68" s="421">
        <v>3.3</v>
      </c>
      <c r="F68" s="573">
        <f t="shared" si="6"/>
        <v>6.5</v>
      </c>
      <c r="G68" s="420"/>
      <c r="H68" s="417"/>
      <c r="I68" s="535">
        <v>0</v>
      </c>
      <c r="J68" s="535">
        <v>0</v>
      </c>
      <c r="K68" s="524">
        <f t="shared" si="7"/>
        <v>0</v>
      </c>
      <c r="L68" s="398" t="s">
        <v>413</v>
      </c>
    </row>
    <row r="69" spans="1:12" ht="26.25" x14ac:dyDescent="0.25">
      <c r="A69" s="456" t="s">
        <v>35</v>
      </c>
      <c r="B69" s="416" t="s">
        <v>108</v>
      </c>
      <c r="C69" s="527">
        <v>14.3</v>
      </c>
      <c r="D69" s="421">
        <v>2.5</v>
      </c>
      <c r="E69" s="421">
        <v>8.8000000000000007</v>
      </c>
      <c r="F69" s="573">
        <f t="shared" si="6"/>
        <v>11.3</v>
      </c>
      <c r="G69" s="420"/>
      <c r="H69" s="417">
        <v>14.3</v>
      </c>
      <c r="I69" s="421">
        <f>2.540542</f>
        <v>2.5405419999999999</v>
      </c>
      <c r="J69" s="421">
        <f>8.83550007</f>
        <v>8.8355000700000002</v>
      </c>
      <c r="K69" s="524">
        <f t="shared" si="7"/>
        <v>11.37604207</v>
      </c>
      <c r="L69" s="424"/>
    </row>
    <row r="70" spans="1:12" ht="26.25" x14ac:dyDescent="0.25">
      <c r="A70" s="455" t="s">
        <v>35</v>
      </c>
      <c r="B70" s="416" t="s">
        <v>111</v>
      </c>
      <c r="C70" s="527"/>
      <c r="D70" s="418">
        <v>0.6</v>
      </c>
      <c r="E70" s="421">
        <v>0.3</v>
      </c>
      <c r="F70" s="528">
        <f t="shared" si="6"/>
        <v>0.89999999999999991</v>
      </c>
      <c r="G70" s="420"/>
      <c r="H70" s="417"/>
      <c r="I70" s="418">
        <v>0.573183</v>
      </c>
      <c r="J70" s="418">
        <v>0.290628</v>
      </c>
      <c r="K70" s="419">
        <f t="shared" si="7"/>
        <v>0.863811</v>
      </c>
      <c r="L70" s="424"/>
    </row>
    <row r="71" spans="1:12" ht="67.5" customHeight="1" x14ac:dyDescent="0.25">
      <c r="A71" s="603" t="s">
        <v>35</v>
      </c>
      <c r="B71" s="599" t="s">
        <v>115</v>
      </c>
      <c r="C71" s="527"/>
      <c r="D71" s="421">
        <v>0</v>
      </c>
      <c r="E71" s="421">
        <v>0</v>
      </c>
      <c r="F71" s="573">
        <v>0</v>
      </c>
      <c r="G71" s="420"/>
      <c r="H71" s="417"/>
      <c r="I71" s="535">
        <v>1.82</v>
      </c>
      <c r="J71" s="535">
        <f>(1.82*1.03)*2</f>
        <v>3.7492000000000001</v>
      </c>
      <c r="K71" s="524">
        <f t="shared" si="7"/>
        <v>5.5692000000000004</v>
      </c>
      <c r="L71" s="592" t="s">
        <v>418</v>
      </c>
    </row>
    <row r="72" spans="1:12" ht="39" x14ac:dyDescent="0.25">
      <c r="A72" s="603" t="s">
        <v>35</v>
      </c>
      <c r="B72" s="599" t="s">
        <v>445</v>
      </c>
      <c r="C72" s="527"/>
      <c r="D72" s="421">
        <v>0</v>
      </c>
      <c r="E72" s="421">
        <v>0</v>
      </c>
      <c r="F72" s="573">
        <v>0</v>
      </c>
      <c r="G72" s="420"/>
      <c r="H72" s="417"/>
      <c r="I72" s="421"/>
      <c r="J72" s="535">
        <v>2</v>
      </c>
      <c r="K72" s="524">
        <f t="shared" si="7"/>
        <v>2</v>
      </c>
      <c r="L72" s="592" t="s">
        <v>419</v>
      </c>
    </row>
    <row r="73" spans="1:12" ht="26.25" x14ac:dyDescent="0.25">
      <c r="A73" s="455" t="s">
        <v>35</v>
      </c>
      <c r="B73" s="416" t="s">
        <v>117</v>
      </c>
      <c r="C73" s="527">
        <v>2</v>
      </c>
      <c r="D73" s="418">
        <v>2.1</v>
      </c>
      <c r="E73" s="418">
        <v>2.1</v>
      </c>
      <c r="F73" s="528">
        <f>D73+E73</f>
        <v>4.2</v>
      </c>
      <c r="G73" s="420"/>
      <c r="H73" s="417">
        <v>2</v>
      </c>
      <c r="I73" s="418">
        <f>2.06</f>
        <v>2.06</v>
      </c>
      <c r="J73" s="418">
        <f>2.1218</f>
        <v>2.1217999999999999</v>
      </c>
      <c r="K73" s="419">
        <f t="shared" si="7"/>
        <v>4.1818</v>
      </c>
      <c r="L73" s="425"/>
    </row>
    <row r="74" spans="1:12" ht="26.25" x14ac:dyDescent="0.25">
      <c r="A74" s="455" t="s">
        <v>35</v>
      </c>
      <c r="B74" s="416" t="s">
        <v>121</v>
      </c>
      <c r="C74" s="527"/>
      <c r="D74" s="418">
        <v>1.4</v>
      </c>
      <c r="E74" s="418">
        <v>4.0999999999999996</v>
      </c>
      <c r="F74" s="528">
        <f>D74+E74</f>
        <v>5.5</v>
      </c>
      <c r="G74" s="420"/>
      <c r="H74" s="417"/>
      <c r="I74" s="418">
        <v>1.3611150000000001</v>
      </c>
      <c r="J74" s="418">
        <v>4.0534416599999998</v>
      </c>
      <c r="K74" s="419">
        <f t="shared" si="7"/>
        <v>5.4145566599999997</v>
      </c>
      <c r="L74" s="424"/>
    </row>
    <row r="75" spans="1:12" x14ac:dyDescent="0.25">
      <c r="A75" s="455" t="s">
        <v>57</v>
      </c>
      <c r="B75" s="416" t="s">
        <v>59</v>
      </c>
      <c r="C75" s="527">
        <v>0.3</v>
      </c>
      <c r="D75" s="418">
        <v>0</v>
      </c>
      <c r="E75" s="418">
        <v>0</v>
      </c>
      <c r="F75" s="528">
        <v>0</v>
      </c>
      <c r="G75" s="420"/>
      <c r="H75" s="417">
        <v>0.3</v>
      </c>
      <c r="I75" s="418">
        <v>0</v>
      </c>
      <c r="J75" s="418">
        <v>0</v>
      </c>
      <c r="K75" s="419">
        <f t="shared" si="7"/>
        <v>0</v>
      </c>
      <c r="L75" s="424"/>
    </row>
    <row r="76" spans="1:12" x14ac:dyDescent="0.25">
      <c r="A76" s="455" t="s">
        <v>57</v>
      </c>
      <c r="B76" s="416" t="s">
        <v>60</v>
      </c>
      <c r="C76" s="527"/>
      <c r="D76" s="418">
        <v>1.9</v>
      </c>
      <c r="E76" s="418">
        <v>1.9</v>
      </c>
      <c r="F76" s="528">
        <f>D76+E76</f>
        <v>3.8</v>
      </c>
      <c r="G76" s="420"/>
      <c r="H76" s="417"/>
      <c r="I76" s="418">
        <v>1.875</v>
      </c>
      <c r="J76" s="418">
        <v>1.9312499999999999</v>
      </c>
      <c r="K76" s="419">
        <f t="shared" si="7"/>
        <v>3.8062499999999999</v>
      </c>
      <c r="L76" s="426"/>
    </row>
    <row r="77" spans="1:12" ht="26.25" x14ac:dyDescent="0.25">
      <c r="A77" s="413"/>
      <c r="B77" s="428" t="s">
        <v>431</v>
      </c>
      <c r="C77" s="530">
        <v>128.1</v>
      </c>
      <c r="D77" s="536">
        <v>38.9</v>
      </c>
      <c r="E77" s="536">
        <v>40.799999999999997</v>
      </c>
      <c r="F77" s="537">
        <f>D77+E77</f>
        <v>79.699999999999989</v>
      </c>
      <c r="G77" s="429"/>
      <c r="H77" s="431">
        <v>128.1</v>
      </c>
      <c r="I77" s="540">
        <v>38.737499999999997</v>
      </c>
      <c r="J77" s="540">
        <v>40.625</v>
      </c>
      <c r="K77" s="447">
        <f t="shared" si="7"/>
        <v>79.362499999999997</v>
      </c>
      <c r="L77" s="586" t="s">
        <v>429</v>
      </c>
    </row>
    <row r="78" spans="1:12" x14ac:dyDescent="0.25">
      <c r="A78" s="445"/>
      <c r="B78" s="430" t="s">
        <v>131</v>
      </c>
      <c r="C78" s="530">
        <v>-5.125</v>
      </c>
      <c r="D78" s="432"/>
      <c r="E78" s="432"/>
      <c r="F78" s="529"/>
      <c r="G78" s="429"/>
      <c r="H78" s="431">
        <v>-5.125</v>
      </c>
      <c r="I78" s="432"/>
      <c r="J78" s="432"/>
      <c r="K78" s="447"/>
      <c r="L78" s="445"/>
    </row>
    <row r="79" spans="1:12" x14ac:dyDescent="0.25">
      <c r="A79" s="445"/>
      <c r="B79" s="430" t="s">
        <v>132</v>
      </c>
      <c r="C79" s="530">
        <f>C77</f>
        <v>128.1</v>
      </c>
      <c r="D79" s="434">
        <f>SUM(D65:D76)</f>
        <v>39</v>
      </c>
      <c r="E79" s="434">
        <f>SUM(E65:E76)</f>
        <v>40.800000000000004</v>
      </c>
      <c r="F79" s="531">
        <f>D79+E79</f>
        <v>79.800000000000011</v>
      </c>
      <c r="G79" s="429"/>
      <c r="H79" s="431">
        <f>H77</f>
        <v>128.1</v>
      </c>
      <c r="I79" s="434">
        <f>SUM(I65:I76)</f>
        <v>24.52984</v>
      </c>
      <c r="J79" s="434">
        <f>SUM(J65:J76)</f>
        <v>29.481819730000002</v>
      </c>
      <c r="K79" s="433">
        <f>I79+J79</f>
        <v>54.011659730000005</v>
      </c>
      <c r="L79" s="445"/>
    </row>
    <row r="80" spans="1:12" x14ac:dyDescent="0.25">
      <c r="A80" s="445"/>
      <c r="B80" s="430" t="s">
        <v>133</v>
      </c>
      <c r="C80" s="530">
        <v>-114.8</v>
      </c>
      <c r="D80" s="434"/>
      <c r="E80" s="434"/>
      <c r="F80" s="531"/>
      <c r="G80" s="429"/>
      <c r="H80" s="431">
        <v>-114.8</v>
      </c>
      <c r="I80" s="434"/>
      <c r="J80" s="434"/>
      <c r="K80" s="433"/>
      <c r="L80" s="445"/>
    </row>
    <row r="81" spans="1:12" x14ac:dyDescent="0.25">
      <c r="A81" s="445"/>
      <c r="B81" s="430" t="s">
        <v>134</v>
      </c>
      <c r="C81" s="530">
        <v>0</v>
      </c>
      <c r="D81" s="434">
        <v>4</v>
      </c>
      <c r="E81" s="434"/>
      <c r="F81" s="531">
        <f>D81</f>
        <v>4</v>
      </c>
      <c r="G81" s="429"/>
      <c r="H81" s="431">
        <v>0</v>
      </c>
      <c r="I81" s="434">
        <v>4</v>
      </c>
      <c r="J81" s="434"/>
      <c r="K81" s="433"/>
      <c r="L81" s="445"/>
    </row>
    <row r="82" spans="1:12" x14ac:dyDescent="0.25">
      <c r="A82" s="445"/>
      <c r="B82" s="448" t="s">
        <v>136</v>
      </c>
      <c r="C82" s="530">
        <f>C77+C78+C80+C81</f>
        <v>8.1749999999999972</v>
      </c>
      <c r="D82" s="434">
        <f>D77-D79-D81</f>
        <v>-4.1000000000000014</v>
      </c>
      <c r="E82" s="434">
        <f>E77-E79</f>
        <v>0</v>
      </c>
      <c r="F82" s="531">
        <f>C82+D82+E82</f>
        <v>4.0749999999999957</v>
      </c>
      <c r="G82" s="429"/>
      <c r="H82" s="431">
        <f>H77+H78+H80+H81</f>
        <v>8.1749999999999972</v>
      </c>
      <c r="I82" s="434">
        <f>I77-I79-I81</f>
        <v>10.207659999999997</v>
      </c>
      <c r="J82" s="434">
        <f>J77-J79+J81</f>
        <v>11.143180269999998</v>
      </c>
      <c r="K82" s="433">
        <f>H82+I82+J82</f>
        <v>29.525840269999993</v>
      </c>
      <c r="L82" s="436"/>
    </row>
    <row r="83" spans="1:12" ht="15.75" thickBot="1" x14ac:dyDescent="0.3">
      <c r="A83" s="445"/>
      <c r="B83" s="449" t="s">
        <v>137</v>
      </c>
      <c r="C83" s="605">
        <v>0</v>
      </c>
      <c r="D83" s="606">
        <f>D65</f>
        <v>13</v>
      </c>
      <c r="E83" s="606">
        <f>E65</f>
        <v>13.8</v>
      </c>
      <c r="F83" s="607">
        <f>D83+E83</f>
        <v>26.8</v>
      </c>
      <c r="G83" s="429"/>
      <c r="H83" s="457">
        <v>0</v>
      </c>
      <c r="I83" s="458"/>
      <c r="J83" s="458"/>
      <c r="K83" s="459">
        <f>SUM(H83:J83)</f>
        <v>0</v>
      </c>
      <c r="L83" s="445"/>
    </row>
    <row r="84" spans="1:12" ht="15.75" thickBot="1" x14ac:dyDescent="0.3">
      <c r="B84" s="382"/>
      <c r="C84" s="382"/>
      <c r="D84" s="382"/>
      <c r="E84" s="382"/>
      <c r="F84" s="382"/>
      <c r="G84" s="382"/>
      <c r="H84" s="382"/>
      <c r="I84" s="382"/>
      <c r="J84" s="382"/>
      <c r="K84" s="382"/>
      <c r="L84" s="382"/>
    </row>
    <row r="85" spans="1:12" ht="16.5" customHeight="1" thickTop="1" thickBot="1" x14ac:dyDescent="0.3">
      <c r="A85" s="627" t="s">
        <v>406</v>
      </c>
      <c r="B85" s="628"/>
      <c r="C85" s="611" t="s">
        <v>409</v>
      </c>
      <c r="D85" s="612"/>
      <c r="E85" s="612"/>
      <c r="F85" s="613"/>
      <c r="G85" s="412"/>
      <c r="H85" s="637" t="s">
        <v>2</v>
      </c>
      <c r="I85" s="638"/>
      <c r="J85" s="638"/>
      <c r="K85" s="639"/>
      <c r="L85" s="598"/>
    </row>
    <row r="86" spans="1:12" ht="39.75" thickBot="1" x14ac:dyDescent="0.3">
      <c r="A86" s="385" t="s">
        <v>3</v>
      </c>
      <c r="B86" s="460" t="s">
        <v>4</v>
      </c>
      <c r="C86" s="525" t="s">
        <v>5</v>
      </c>
      <c r="D86" s="519" t="s">
        <v>6</v>
      </c>
      <c r="E86" s="519" t="s">
        <v>7</v>
      </c>
      <c r="F86" s="526" t="s">
        <v>8</v>
      </c>
      <c r="G86" s="410"/>
      <c r="H86" s="521" t="s">
        <v>5</v>
      </c>
      <c r="I86" s="519" t="s">
        <v>6</v>
      </c>
      <c r="J86" s="519" t="s">
        <v>7</v>
      </c>
      <c r="K86" s="522" t="s">
        <v>8</v>
      </c>
      <c r="L86" s="593" t="s">
        <v>411</v>
      </c>
    </row>
    <row r="87" spans="1:12" ht="27" customHeight="1" x14ac:dyDescent="0.25">
      <c r="A87" s="461" t="s">
        <v>139</v>
      </c>
      <c r="B87" s="462" t="s">
        <v>140</v>
      </c>
      <c r="C87" s="527">
        <v>0.3</v>
      </c>
      <c r="D87" s="421">
        <v>0</v>
      </c>
      <c r="E87" s="418">
        <v>0.3</v>
      </c>
      <c r="F87" s="528">
        <f>D87+E87</f>
        <v>0.3</v>
      </c>
      <c r="G87" s="420"/>
      <c r="H87" s="417">
        <v>0.3</v>
      </c>
      <c r="I87" s="535">
        <v>0.6</v>
      </c>
      <c r="J87" s="418">
        <v>0.3</v>
      </c>
      <c r="K87" s="419">
        <f t="shared" ref="K87:K103" si="8">J87+I87</f>
        <v>0.89999999999999991</v>
      </c>
      <c r="L87" s="594" t="s">
        <v>422</v>
      </c>
    </row>
    <row r="88" spans="1:12" ht="27" customHeight="1" x14ac:dyDescent="0.25">
      <c r="A88" s="463" t="s">
        <v>139</v>
      </c>
      <c r="B88" s="416" t="s">
        <v>143</v>
      </c>
      <c r="C88" s="527">
        <v>0.6</v>
      </c>
      <c r="D88" s="421">
        <v>0</v>
      </c>
      <c r="E88" s="418">
        <v>0.6</v>
      </c>
      <c r="F88" s="528">
        <f>D88+E88</f>
        <v>0.6</v>
      </c>
      <c r="G88" s="420"/>
      <c r="H88" s="417">
        <v>0.6</v>
      </c>
      <c r="I88" s="535">
        <v>0.6</v>
      </c>
      <c r="J88" s="418">
        <v>0.6</v>
      </c>
      <c r="K88" s="419">
        <f t="shared" si="8"/>
        <v>1.2</v>
      </c>
      <c r="L88" s="595" t="s">
        <v>423</v>
      </c>
    </row>
    <row r="89" spans="1:12" x14ac:dyDescent="0.25">
      <c r="A89" s="463" t="s">
        <v>139</v>
      </c>
      <c r="B89" s="416" t="s">
        <v>144</v>
      </c>
      <c r="C89" s="527">
        <v>1.2</v>
      </c>
      <c r="D89" s="418">
        <v>0</v>
      </c>
      <c r="E89" s="418">
        <v>0.6</v>
      </c>
      <c r="F89" s="528">
        <f>D89+E89</f>
        <v>0.6</v>
      </c>
      <c r="G89" s="420"/>
      <c r="H89" s="417">
        <v>1.2</v>
      </c>
      <c r="I89" s="418">
        <v>0</v>
      </c>
      <c r="J89" s="418">
        <v>0.6</v>
      </c>
      <c r="K89" s="419">
        <f t="shared" si="8"/>
        <v>0.6</v>
      </c>
      <c r="L89" s="595"/>
    </row>
    <row r="90" spans="1:12" x14ac:dyDescent="0.25">
      <c r="A90" s="463" t="s">
        <v>147</v>
      </c>
      <c r="B90" s="416" t="s">
        <v>148</v>
      </c>
      <c r="C90" s="527">
        <v>5.9</v>
      </c>
      <c r="D90" s="418">
        <v>0</v>
      </c>
      <c r="E90" s="418">
        <v>0</v>
      </c>
      <c r="F90" s="528">
        <v>0</v>
      </c>
      <c r="G90" s="420"/>
      <c r="H90" s="417">
        <v>5.9</v>
      </c>
      <c r="I90" s="418">
        <v>0</v>
      </c>
      <c r="J90" s="418">
        <v>0</v>
      </c>
      <c r="K90" s="419">
        <f t="shared" si="8"/>
        <v>0</v>
      </c>
      <c r="L90" s="595"/>
    </row>
    <row r="91" spans="1:12" x14ac:dyDescent="0.25">
      <c r="A91" s="463" t="s">
        <v>147</v>
      </c>
      <c r="B91" s="416" t="s">
        <v>150</v>
      </c>
      <c r="C91" s="527">
        <v>5</v>
      </c>
      <c r="D91" s="418">
        <v>0</v>
      </c>
      <c r="E91" s="418">
        <v>0</v>
      </c>
      <c r="F91" s="528">
        <v>0</v>
      </c>
      <c r="G91" s="420"/>
      <c r="H91" s="417">
        <v>5</v>
      </c>
      <c r="I91" s="418">
        <v>0</v>
      </c>
      <c r="J91" s="418">
        <v>0</v>
      </c>
      <c r="K91" s="419">
        <f t="shared" si="8"/>
        <v>0</v>
      </c>
      <c r="L91" s="595"/>
    </row>
    <row r="92" spans="1:12" x14ac:dyDescent="0.25">
      <c r="A92" s="463" t="s">
        <v>147</v>
      </c>
      <c r="B92" s="416" t="s">
        <v>151</v>
      </c>
      <c r="C92" s="527">
        <v>7.6403241500000005</v>
      </c>
      <c r="D92" s="418">
        <v>0</v>
      </c>
      <c r="E92" s="418">
        <v>0</v>
      </c>
      <c r="F92" s="528">
        <v>0</v>
      </c>
      <c r="G92" s="420"/>
      <c r="H92" s="417">
        <v>7.6403241500000005</v>
      </c>
      <c r="I92" s="418">
        <v>0</v>
      </c>
      <c r="J92" s="418">
        <v>0</v>
      </c>
      <c r="K92" s="419">
        <f t="shared" si="8"/>
        <v>0</v>
      </c>
      <c r="L92" s="635"/>
    </row>
    <row r="93" spans="1:12" x14ac:dyDescent="0.25">
      <c r="A93" s="463" t="s">
        <v>147</v>
      </c>
      <c r="B93" s="416" t="s">
        <v>151</v>
      </c>
      <c r="C93" s="527">
        <v>-0.89524384000000012</v>
      </c>
      <c r="D93" s="418">
        <v>0</v>
      </c>
      <c r="E93" s="418">
        <v>0</v>
      </c>
      <c r="F93" s="528">
        <v>0</v>
      </c>
      <c r="G93" s="420"/>
      <c r="H93" s="417">
        <v>-0.89524384000000012</v>
      </c>
      <c r="I93" s="418">
        <v>0</v>
      </c>
      <c r="J93" s="418">
        <v>0</v>
      </c>
      <c r="K93" s="419">
        <f t="shared" si="8"/>
        <v>0</v>
      </c>
      <c r="L93" s="635"/>
    </row>
    <row r="94" spans="1:12" x14ac:dyDescent="0.25">
      <c r="A94" s="463" t="s">
        <v>147</v>
      </c>
      <c r="B94" s="416" t="s">
        <v>153</v>
      </c>
      <c r="C94" s="527">
        <v>1.8</v>
      </c>
      <c r="D94" s="418">
        <v>1.8</v>
      </c>
      <c r="E94" s="418">
        <v>1.9</v>
      </c>
      <c r="F94" s="528">
        <f>D94+E94</f>
        <v>3.7</v>
      </c>
      <c r="G94" s="420"/>
      <c r="H94" s="417">
        <v>1.8</v>
      </c>
      <c r="I94" s="418">
        <v>1.8</v>
      </c>
      <c r="J94" s="418">
        <v>1.85</v>
      </c>
      <c r="K94" s="419">
        <f t="shared" si="8"/>
        <v>3.6500000000000004</v>
      </c>
      <c r="L94" s="595"/>
    </row>
    <row r="95" spans="1:12" x14ac:dyDescent="0.25">
      <c r="A95" s="463" t="s">
        <v>147</v>
      </c>
      <c r="B95" s="416" t="s">
        <v>155</v>
      </c>
      <c r="C95" s="527">
        <v>2.9041730000000001</v>
      </c>
      <c r="D95" s="418">
        <v>3</v>
      </c>
      <c r="E95" s="418">
        <v>3.1</v>
      </c>
      <c r="F95" s="528">
        <f>D95+E95</f>
        <v>6.1</v>
      </c>
      <c r="G95" s="420"/>
      <c r="H95" s="417">
        <v>2.9041730000000001</v>
      </c>
      <c r="I95" s="418">
        <v>3</v>
      </c>
      <c r="J95" s="418">
        <v>3.1</v>
      </c>
      <c r="K95" s="419">
        <f t="shared" si="8"/>
        <v>6.1</v>
      </c>
      <c r="L95" s="595"/>
    </row>
    <row r="96" spans="1:12" x14ac:dyDescent="0.25">
      <c r="A96" s="463" t="s">
        <v>147</v>
      </c>
      <c r="B96" s="416" t="s">
        <v>157</v>
      </c>
      <c r="C96" s="527">
        <v>15.413756769999999</v>
      </c>
      <c r="D96" s="418">
        <v>8.1</v>
      </c>
      <c r="E96" s="418">
        <v>0</v>
      </c>
      <c r="F96" s="528">
        <f>D96+E96</f>
        <v>8.1</v>
      </c>
      <c r="G96" s="420"/>
      <c r="H96" s="417">
        <v>15.413756769999999</v>
      </c>
      <c r="I96" s="418">
        <v>8.1489999999999991</v>
      </c>
      <c r="J96" s="418">
        <v>0</v>
      </c>
      <c r="K96" s="419">
        <f t="shared" si="8"/>
        <v>8.1489999999999991</v>
      </c>
      <c r="L96" s="595"/>
    </row>
    <row r="97" spans="1:19" x14ac:dyDescent="0.25">
      <c r="A97" s="464" t="s">
        <v>147</v>
      </c>
      <c r="B97" s="465" t="s">
        <v>159</v>
      </c>
      <c r="C97" s="527">
        <v>5.7539999999999996</v>
      </c>
      <c r="D97" s="418">
        <v>7.5</v>
      </c>
      <c r="E97" s="418">
        <v>7.7</v>
      </c>
      <c r="F97" s="528">
        <f>D97+E97</f>
        <v>15.2</v>
      </c>
      <c r="G97" s="420"/>
      <c r="H97" s="417">
        <v>5.7539999999999996</v>
      </c>
      <c r="I97" s="418">
        <v>7.46</v>
      </c>
      <c r="J97" s="418">
        <v>7.7</v>
      </c>
      <c r="K97" s="419">
        <f t="shared" si="8"/>
        <v>15.16</v>
      </c>
      <c r="L97" s="595"/>
    </row>
    <row r="98" spans="1:19" ht="39" x14ac:dyDescent="0.25">
      <c r="A98" s="415" t="s">
        <v>147</v>
      </c>
      <c r="B98" s="416" t="s">
        <v>161</v>
      </c>
      <c r="C98" s="527">
        <v>0</v>
      </c>
      <c r="D98" s="421">
        <v>14.7</v>
      </c>
      <c r="E98" s="418">
        <v>15.1</v>
      </c>
      <c r="F98" s="528">
        <f>D98+E98</f>
        <v>29.799999999999997</v>
      </c>
      <c r="G98" s="466"/>
      <c r="H98" s="417">
        <v>0</v>
      </c>
      <c r="I98" s="535">
        <f>14.7-1.2</f>
        <v>13.5</v>
      </c>
      <c r="J98" s="418">
        <f>15.1</f>
        <v>15.1</v>
      </c>
      <c r="K98" s="419">
        <f t="shared" si="8"/>
        <v>28.6</v>
      </c>
      <c r="L98" s="595" t="s">
        <v>424</v>
      </c>
    </row>
    <row r="99" spans="1:19" x14ac:dyDescent="0.25">
      <c r="A99" s="415" t="s">
        <v>164</v>
      </c>
      <c r="B99" s="416" t="s">
        <v>164</v>
      </c>
      <c r="C99" s="527">
        <v>0</v>
      </c>
      <c r="D99" s="418"/>
      <c r="E99" s="418"/>
      <c r="F99" s="528"/>
      <c r="G99" s="466"/>
      <c r="H99" s="417">
        <v>0</v>
      </c>
      <c r="I99" s="418">
        <v>0</v>
      </c>
      <c r="J99" s="418">
        <v>0</v>
      </c>
      <c r="K99" s="419">
        <f t="shared" si="8"/>
        <v>0</v>
      </c>
      <c r="L99" s="595"/>
    </row>
    <row r="100" spans="1:19" x14ac:dyDescent="0.25">
      <c r="A100" s="415" t="s">
        <v>164</v>
      </c>
      <c r="B100" s="416" t="s">
        <v>167</v>
      </c>
      <c r="C100" s="527">
        <v>0.9</v>
      </c>
      <c r="D100" s="418">
        <v>0.9</v>
      </c>
      <c r="E100" s="418">
        <v>1</v>
      </c>
      <c r="F100" s="528">
        <f>E100+D100</f>
        <v>1.9</v>
      </c>
      <c r="G100" s="466"/>
      <c r="H100" s="417">
        <v>0.9</v>
      </c>
      <c r="I100" s="418">
        <v>0.92700000000000005</v>
      </c>
      <c r="J100" s="418">
        <v>0.95</v>
      </c>
      <c r="K100" s="419">
        <f t="shared" si="8"/>
        <v>1.877</v>
      </c>
      <c r="L100" s="595"/>
    </row>
    <row r="101" spans="1:19" x14ac:dyDescent="0.25">
      <c r="A101" s="415" t="s">
        <v>57</v>
      </c>
      <c r="B101" s="416" t="s">
        <v>59</v>
      </c>
      <c r="C101" s="527">
        <v>1.1731443899999998</v>
      </c>
      <c r="D101" s="418"/>
      <c r="E101" s="418"/>
      <c r="F101" s="528"/>
      <c r="G101" s="466"/>
      <c r="H101" s="417">
        <v>1.1731443899999998</v>
      </c>
      <c r="I101" s="418">
        <v>0</v>
      </c>
      <c r="J101" s="418">
        <v>0</v>
      </c>
      <c r="K101" s="419">
        <f t="shared" si="8"/>
        <v>0</v>
      </c>
      <c r="L101" s="595"/>
    </row>
    <row r="102" spans="1:19" x14ac:dyDescent="0.25">
      <c r="A102" s="415" t="s">
        <v>57</v>
      </c>
      <c r="B102" s="416" t="s">
        <v>60</v>
      </c>
      <c r="C102" s="527">
        <v>1.310924</v>
      </c>
      <c r="D102" s="418">
        <v>2.2000000000000002</v>
      </c>
      <c r="E102" s="418">
        <v>2.4</v>
      </c>
      <c r="F102" s="528">
        <f>D102+E102</f>
        <v>4.5999999999999996</v>
      </c>
      <c r="G102" s="466"/>
      <c r="H102" s="417">
        <v>1.310924</v>
      </c>
      <c r="I102" s="418">
        <v>2.2109239999999999</v>
      </c>
      <c r="J102" s="418">
        <v>2.4</v>
      </c>
      <c r="K102" s="419">
        <f t="shared" si="8"/>
        <v>4.6109239999999998</v>
      </c>
      <c r="L102" s="596"/>
    </row>
    <row r="103" spans="1:19" ht="26.25" x14ac:dyDescent="0.25">
      <c r="A103" s="445"/>
      <c r="B103" s="467" t="s">
        <v>426</v>
      </c>
      <c r="C103" s="541">
        <v>49</v>
      </c>
      <c r="D103" s="474">
        <v>31.1</v>
      </c>
      <c r="E103" s="474">
        <v>32.6</v>
      </c>
      <c r="F103" s="542">
        <f>D103+E103</f>
        <v>63.7</v>
      </c>
      <c r="G103" s="429"/>
      <c r="H103" s="545">
        <v>49</v>
      </c>
      <c r="I103" s="540">
        <v>30.99</v>
      </c>
      <c r="J103" s="540">
        <v>32.5</v>
      </c>
      <c r="K103" s="471">
        <f t="shared" si="8"/>
        <v>63.489999999999995</v>
      </c>
      <c r="L103" s="586" t="s">
        <v>429</v>
      </c>
    </row>
    <row r="104" spans="1:19" x14ac:dyDescent="0.25">
      <c r="A104" s="445"/>
      <c r="B104" s="468" t="s">
        <v>170</v>
      </c>
      <c r="C104" s="547">
        <v>-4.0999999999999996</v>
      </c>
      <c r="D104" s="474"/>
      <c r="E104" s="474"/>
      <c r="F104" s="542"/>
      <c r="G104" s="429"/>
      <c r="H104" s="469">
        <v>-4.0999999999999996</v>
      </c>
      <c r="I104" s="470"/>
      <c r="J104" s="470"/>
      <c r="K104" s="471"/>
      <c r="L104" s="445"/>
    </row>
    <row r="105" spans="1:19" x14ac:dyDescent="0.25">
      <c r="A105" s="445"/>
      <c r="B105" s="468" t="s">
        <v>171</v>
      </c>
      <c r="C105" s="548">
        <f>SUM(C87:C102)</f>
        <v>49.001078469999996</v>
      </c>
      <c r="D105" s="474">
        <f>SUM(D87:D102)</f>
        <v>38.199999999999996</v>
      </c>
      <c r="E105" s="474">
        <f>SUM(E87:E102)</f>
        <v>32.699999999999996</v>
      </c>
      <c r="F105" s="542">
        <f>D105+E105</f>
        <v>70.899999999999991</v>
      </c>
      <c r="G105" s="429"/>
      <c r="H105" s="472">
        <f>SUM(H87:H100)</f>
        <v>46.517010079999999</v>
      </c>
      <c r="I105" s="473">
        <f>SUM(I87:I102)</f>
        <v>38.246923999999993</v>
      </c>
      <c r="J105" s="473">
        <f>SUM(J87:J102)</f>
        <v>32.6</v>
      </c>
      <c r="K105" s="471">
        <f>I105+J105</f>
        <v>70.846924000000001</v>
      </c>
      <c r="L105" s="445"/>
    </row>
    <row r="106" spans="1:19" ht="26.25" x14ac:dyDescent="0.25">
      <c r="A106" s="445"/>
      <c r="B106" s="468" t="s">
        <v>172</v>
      </c>
      <c r="C106" s="548">
        <v>-37.200000000000003</v>
      </c>
      <c r="D106" s="474"/>
      <c r="E106" s="474"/>
      <c r="F106" s="542"/>
      <c r="G106" s="429"/>
      <c r="H106" s="472">
        <v>-37.200000000000003</v>
      </c>
      <c r="I106" s="474"/>
      <c r="J106" s="474"/>
      <c r="K106" s="471"/>
      <c r="L106" s="445"/>
    </row>
    <row r="107" spans="1:19" x14ac:dyDescent="0.25">
      <c r="A107" s="445"/>
      <c r="B107" s="468" t="s">
        <v>173</v>
      </c>
      <c r="C107" s="548">
        <v>0</v>
      </c>
      <c r="D107" s="474"/>
      <c r="E107" s="474"/>
      <c r="F107" s="542"/>
      <c r="G107" s="429"/>
      <c r="H107" s="472">
        <v>0</v>
      </c>
      <c r="I107" s="474"/>
      <c r="J107" s="474"/>
      <c r="K107" s="471"/>
      <c r="L107" s="445"/>
    </row>
    <row r="108" spans="1:19" x14ac:dyDescent="0.25">
      <c r="A108" s="427"/>
      <c r="B108" s="468" t="s">
        <v>174</v>
      </c>
      <c r="C108" s="548">
        <f>C103+C104+C106+C107</f>
        <v>7.6999999999999957</v>
      </c>
      <c r="D108" s="474">
        <f>D103-D105</f>
        <v>-7.0999999999999943</v>
      </c>
      <c r="E108" s="474">
        <f>E103-E105</f>
        <v>-9.9999999999994316E-2</v>
      </c>
      <c r="F108" s="542"/>
      <c r="G108" s="429"/>
      <c r="H108" s="469">
        <f>H103+H104+H106+H107</f>
        <v>7.6999999999999957</v>
      </c>
      <c r="I108" s="546">
        <f>I103-I105+I107</f>
        <v>-7.2569239999999944</v>
      </c>
      <c r="J108" s="546">
        <f>J103-J105+J107</f>
        <v>-0.10000000000000142</v>
      </c>
      <c r="K108" s="471"/>
      <c r="L108" s="445"/>
    </row>
    <row r="109" spans="1:19" ht="27" thickBot="1" x14ac:dyDescent="0.3">
      <c r="A109" s="427"/>
      <c r="B109" s="478" t="s">
        <v>176</v>
      </c>
      <c r="C109" s="549">
        <f>C108</f>
        <v>7.6999999999999957</v>
      </c>
      <c r="D109" s="543">
        <f>C109+D108</f>
        <v>0.60000000000000142</v>
      </c>
      <c r="E109" s="543">
        <f>D109+E108</f>
        <v>0.50000000000000711</v>
      </c>
      <c r="F109" s="544"/>
      <c r="G109" s="429"/>
      <c r="H109" s="475"/>
      <c r="I109" s="476">
        <f>I108+H108</f>
        <v>0.44307600000000136</v>
      </c>
      <c r="J109" s="476">
        <f>J108+I109</f>
        <v>0.34307599999999994</v>
      </c>
      <c r="K109" s="477"/>
      <c r="L109" s="445"/>
    </row>
    <row r="110" spans="1:19" s="427" customFormat="1" ht="16.5" thickTop="1" thickBot="1" x14ac:dyDescent="0.3">
      <c r="C110" s="396"/>
      <c r="D110" s="396"/>
      <c r="E110" s="396"/>
      <c r="F110" s="396"/>
      <c r="G110" s="396"/>
      <c r="H110" s="396"/>
      <c r="I110" s="396"/>
      <c r="J110" s="396"/>
      <c r="K110" s="396"/>
      <c r="M110" s="382"/>
      <c r="N110" s="382"/>
      <c r="O110" s="382"/>
      <c r="P110" s="382"/>
      <c r="Q110" s="382"/>
      <c r="R110" s="382"/>
      <c r="S110" s="382"/>
    </row>
    <row r="111" spans="1:19" ht="16.5" thickTop="1" thickBot="1" x14ac:dyDescent="0.3">
      <c r="A111" s="641" t="s">
        <v>407</v>
      </c>
      <c r="B111" s="641"/>
      <c r="C111" s="649" t="s">
        <v>409</v>
      </c>
      <c r="D111" s="650"/>
      <c r="E111" s="650"/>
      <c r="F111" s="651"/>
      <c r="G111" s="420"/>
      <c r="H111" s="642" t="s">
        <v>2</v>
      </c>
      <c r="I111" s="643"/>
      <c r="J111" s="643"/>
      <c r="K111" s="644"/>
      <c r="L111" s="586"/>
    </row>
    <row r="112" spans="1:19" ht="39" x14ac:dyDescent="0.25">
      <c r="A112" s="479" t="s">
        <v>3</v>
      </c>
      <c r="B112" s="386" t="s">
        <v>4</v>
      </c>
      <c r="C112" s="525" t="s">
        <v>5</v>
      </c>
      <c r="D112" s="519" t="s">
        <v>6</v>
      </c>
      <c r="E112" s="519" t="s">
        <v>7</v>
      </c>
      <c r="F112" s="526" t="s">
        <v>8</v>
      </c>
      <c r="G112" s="410"/>
      <c r="H112" s="521" t="s">
        <v>5</v>
      </c>
      <c r="I112" s="519" t="s">
        <v>6</v>
      </c>
      <c r="J112" s="519" t="s">
        <v>7</v>
      </c>
      <c r="K112" s="522" t="s">
        <v>8</v>
      </c>
      <c r="L112" s="391" t="s">
        <v>411</v>
      </c>
    </row>
    <row r="113" spans="1:12" ht="26.25" x14ac:dyDescent="0.25">
      <c r="A113" s="415" t="s">
        <v>179</v>
      </c>
      <c r="B113" s="416" t="s">
        <v>180</v>
      </c>
      <c r="C113" s="527">
        <v>18.5</v>
      </c>
      <c r="D113" s="418">
        <v>14.5</v>
      </c>
      <c r="E113" s="418">
        <v>12.2</v>
      </c>
      <c r="F113" s="528">
        <f>D113+E113</f>
        <v>26.7</v>
      </c>
      <c r="G113" s="420"/>
      <c r="H113" s="417">
        <v>18.5</v>
      </c>
      <c r="I113" s="418">
        <v>14.5</v>
      </c>
      <c r="J113" s="418">
        <v>12.2</v>
      </c>
      <c r="K113" s="419">
        <f>J113+I113</f>
        <v>26.7</v>
      </c>
      <c r="L113" s="422"/>
    </row>
    <row r="114" spans="1:12" ht="26.25" x14ac:dyDescent="0.25">
      <c r="A114" s="415" t="s">
        <v>179</v>
      </c>
      <c r="B114" s="416" t="s">
        <v>183</v>
      </c>
      <c r="C114" s="527">
        <v>20.5</v>
      </c>
      <c r="D114" s="421">
        <v>29.2</v>
      </c>
      <c r="E114" s="421">
        <v>25.3</v>
      </c>
      <c r="F114" s="573">
        <f>D114+E114</f>
        <v>54.5</v>
      </c>
      <c r="G114" s="420"/>
      <c r="H114" s="417">
        <v>20.5</v>
      </c>
      <c r="I114" s="421">
        <v>29.2</v>
      </c>
      <c r="J114" s="421">
        <v>25.53</v>
      </c>
      <c r="K114" s="524">
        <f>J114+I114</f>
        <v>54.730000000000004</v>
      </c>
      <c r="L114" s="424"/>
    </row>
    <row r="115" spans="1:12" ht="77.25" x14ac:dyDescent="0.25">
      <c r="A115" s="602" t="s">
        <v>179</v>
      </c>
      <c r="B115" s="599" t="s">
        <v>185</v>
      </c>
      <c r="C115" s="527"/>
      <c r="D115" s="421">
        <v>0</v>
      </c>
      <c r="E115" s="421">
        <v>0</v>
      </c>
      <c r="F115" s="573">
        <v>0</v>
      </c>
      <c r="G115" s="420"/>
      <c r="H115" s="417"/>
      <c r="I115" s="535">
        <v>1</v>
      </c>
      <c r="J115" s="535">
        <v>1</v>
      </c>
      <c r="K115" s="524">
        <f>I115+J115</f>
        <v>2</v>
      </c>
      <c r="L115" s="424" t="s">
        <v>415</v>
      </c>
    </row>
    <row r="116" spans="1:12" ht="38.25" customHeight="1" x14ac:dyDescent="0.25">
      <c r="A116" s="415" t="s">
        <v>186</v>
      </c>
      <c r="B116" s="416" t="s">
        <v>190</v>
      </c>
      <c r="C116" s="527">
        <v>11.2</v>
      </c>
      <c r="D116" s="421">
        <v>0</v>
      </c>
      <c r="E116" s="421">
        <v>0</v>
      </c>
      <c r="F116" s="573">
        <v>0</v>
      </c>
      <c r="G116" s="420"/>
      <c r="H116" s="417">
        <v>11.2</v>
      </c>
      <c r="I116" s="418">
        <v>0</v>
      </c>
      <c r="J116" s="418">
        <v>0</v>
      </c>
      <c r="K116" s="419">
        <f>J116+I116</f>
        <v>0</v>
      </c>
      <c r="L116" s="588"/>
    </row>
    <row r="117" spans="1:12" ht="26.25" customHeight="1" x14ac:dyDescent="0.25">
      <c r="A117" s="415" t="s">
        <v>186</v>
      </c>
      <c r="B117" s="416" t="s">
        <v>191</v>
      </c>
      <c r="C117" s="527">
        <v>11.5</v>
      </c>
      <c r="D117" s="421">
        <v>0</v>
      </c>
      <c r="E117" s="421">
        <v>0</v>
      </c>
      <c r="F117" s="573">
        <v>0</v>
      </c>
      <c r="G117" s="420"/>
      <c r="H117" s="417">
        <v>11.5</v>
      </c>
      <c r="I117" s="418">
        <v>0</v>
      </c>
      <c r="J117" s="418">
        <v>0</v>
      </c>
      <c r="K117" s="419">
        <f>J117+I117</f>
        <v>0</v>
      </c>
      <c r="L117" s="589"/>
    </row>
    <row r="118" spans="1:12" x14ac:dyDescent="0.25">
      <c r="A118" s="415" t="s">
        <v>186</v>
      </c>
      <c r="B118" s="416" t="s">
        <v>187</v>
      </c>
      <c r="C118" s="527">
        <v>16.3</v>
      </c>
      <c r="D118" s="421">
        <v>0</v>
      </c>
      <c r="E118" s="421">
        <v>0</v>
      </c>
      <c r="F118" s="573">
        <v>0</v>
      </c>
      <c r="G118" s="420"/>
      <c r="H118" s="417">
        <v>16.3</v>
      </c>
      <c r="I118" s="418">
        <v>0</v>
      </c>
      <c r="J118" s="418">
        <v>0</v>
      </c>
      <c r="K118" s="419">
        <f t="shared" ref="K118:K124" si="9">J118+I118</f>
        <v>0</v>
      </c>
      <c r="L118" s="589"/>
    </row>
    <row r="119" spans="1:12" x14ac:dyDescent="0.25">
      <c r="A119" s="415" t="s">
        <v>186</v>
      </c>
      <c r="B119" s="416" t="s">
        <v>192</v>
      </c>
      <c r="C119" s="527">
        <v>8.5</v>
      </c>
      <c r="D119" s="421">
        <v>0</v>
      </c>
      <c r="E119" s="421">
        <v>0</v>
      </c>
      <c r="F119" s="573">
        <v>0</v>
      </c>
      <c r="G119" s="420"/>
      <c r="H119" s="417">
        <v>8.5</v>
      </c>
      <c r="I119" s="418">
        <v>0</v>
      </c>
      <c r="J119" s="418">
        <v>0</v>
      </c>
      <c r="K119" s="419">
        <f t="shared" si="9"/>
        <v>0</v>
      </c>
      <c r="L119" s="590"/>
    </row>
    <row r="120" spans="1:12" ht="90" x14ac:dyDescent="0.25">
      <c r="A120" s="603" t="s">
        <v>123</v>
      </c>
      <c r="B120" s="599" t="s">
        <v>124</v>
      </c>
      <c r="C120" s="527"/>
      <c r="D120" s="421">
        <v>0</v>
      </c>
      <c r="E120" s="421">
        <v>0</v>
      </c>
      <c r="F120" s="573">
        <v>0</v>
      </c>
      <c r="G120" s="420"/>
      <c r="H120" s="417"/>
      <c r="I120" s="535">
        <v>1.38</v>
      </c>
      <c r="J120" s="535">
        <f>1.38*1.03</f>
        <v>1.4214</v>
      </c>
      <c r="K120" s="524">
        <f>I120+J120</f>
        <v>2.8014000000000001</v>
      </c>
      <c r="L120" s="591" t="s">
        <v>439</v>
      </c>
    </row>
    <row r="121" spans="1:12" ht="26.25" x14ac:dyDescent="0.25">
      <c r="A121" s="415" t="s">
        <v>35</v>
      </c>
      <c r="B121" s="416" t="s">
        <v>193</v>
      </c>
      <c r="C121" s="527">
        <v>6</v>
      </c>
      <c r="D121" s="421">
        <v>6.8</v>
      </c>
      <c r="E121" s="421">
        <v>6.8</v>
      </c>
      <c r="F121" s="573">
        <v>13.5</v>
      </c>
      <c r="G121" s="420"/>
      <c r="H121" s="417">
        <v>6</v>
      </c>
      <c r="I121" s="418">
        <v>6.7519999999999998</v>
      </c>
      <c r="J121" s="418">
        <v>6.7519999999999998</v>
      </c>
      <c r="K121" s="419">
        <f t="shared" si="9"/>
        <v>13.504</v>
      </c>
      <c r="L121" s="587"/>
    </row>
    <row r="122" spans="1:12" x14ac:dyDescent="0.25">
      <c r="A122" s="415" t="s">
        <v>195</v>
      </c>
      <c r="B122" s="416" t="s">
        <v>196</v>
      </c>
      <c r="C122" s="527">
        <v>5.0999999999999996</v>
      </c>
      <c r="D122" s="421">
        <v>3.4</v>
      </c>
      <c r="E122" s="421">
        <v>2.9</v>
      </c>
      <c r="F122" s="573">
        <f>D122+E122</f>
        <v>6.3</v>
      </c>
      <c r="G122" s="420"/>
      <c r="H122" s="417">
        <v>5.0999999999999996</v>
      </c>
      <c r="I122" s="421">
        <v>4.4689059999999996</v>
      </c>
      <c r="J122" s="421">
        <v>3.75</v>
      </c>
      <c r="K122" s="524">
        <f t="shared" si="9"/>
        <v>8.2189060000000005</v>
      </c>
      <c r="L122" s="587"/>
    </row>
    <row r="123" spans="1:12" x14ac:dyDescent="0.25">
      <c r="A123" s="415" t="s">
        <v>57</v>
      </c>
      <c r="B123" s="416" t="s">
        <v>59</v>
      </c>
      <c r="C123" s="527">
        <v>1</v>
      </c>
      <c r="D123" s="418"/>
      <c r="E123" s="418"/>
      <c r="F123" s="528"/>
      <c r="G123" s="420"/>
      <c r="H123" s="417">
        <v>1</v>
      </c>
      <c r="I123" s="418">
        <v>0</v>
      </c>
      <c r="J123" s="418">
        <v>0</v>
      </c>
      <c r="K123" s="419">
        <f t="shared" si="9"/>
        <v>0</v>
      </c>
      <c r="L123" s="587"/>
    </row>
    <row r="124" spans="1:12" x14ac:dyDescent="0.25">
      <c r="A124" s="415" t="s">
        <v>57</v>
      </c>
      <c r="B124" s="416" t="s">
        <v>60</v>
      </c>
      <c r="C124" s="527">
        <v>1.3</v>
      </c>
      <c r="D124" s="418">
        <v>1.7</v>
      </c>
      <c r="E124" s="418">
        <v>1.8</v>
      </c>
      <c r="F124" s="528">
        <f>D124+E124</f>
        <v>3.5</v>
      </c>
      <c r="G124" s="420"/>
      <c r="H124" s="417">
        <v>1.3</v>
      </c>
      <c r="I124" s="418">
        <v>1.724987</v>
      </c>
      <c r="J124" s="418">
        <v>1.7767366100000002</v>
      </c>
      <c r="K124" s="419">
        <f t="shared" si="9"/>
        <v>3.50172361</v>
      </c>
      <c r="L124" s="426"/>
    </row>
    <row r="125" spans="1:12" ht="26.25" x14ac:dyDescent="0.25">
      <c r="A125" s="427"/>
      <c r="B125" s="480" t="s">
        <v>425</v>
      </c>
      <c r="C125" s="574">
        <v>99.9</v>
      </c>
      <c r="D125" s="482">
        <v>46.7</v>
      </c>
      <c r="E125" s="482">
        <v>48.9</v>
      </c>
      <c r="F125" s="575"/>
      <c r="G125" s="429"/>
      <c r="H125" s="481">
        <v>99.9</v>
      </c>
      <c r="I125" s="540">
        <v>46.484999999999999</v>
      </c>
      <c r="J125" s="540">
        <v>48.75</v>
      </c>
      <c r="K125" s="483">
        <f>I125+J125</f>
        <v>95.234999999999999</v>
      </c>
      <c r="L125" s="586" t="s">
        <v>429</v>
      </c>
    </row>
    <row r="126" spans="1:12" x14ac:dyDescent="0.25">
      <c r="A126" s="445"/>
      <c r="B126" s="480" t="s">
        <v>201</v>
      </c>
      <c r="C126" s="574">
        <v>-6.6</v>
      </c>
      <c r="D126" s="482"/>
      <c r="E126" s="482"/>
      <c r="F126" s="575"/>
      <c r="G126" s="429"/>
      <c r="H126" s="481">
        <v>-6.6</v>
      </c>
      <c r="I126" s="482"/>
      <c r="J126" s="482"/>
      <c r="K126" s="483"/>
      <c r="L126" s="445"/>
    </row>
    <row r="127" spans="1:12" x14ac:dyDescent="0.25">
      <c r="A127" s="445"/>
      <c r="B127" s="480" t="s">
        <v>202</v>
      </c>
      <c r="C127" s="574">
        <f>SUM(C113:C124)</f>
        <v>99.899999999999991</v>
      </c>
      <c r="D127" s="482">
        <f>SUM(D113:D124)</f>
        <v>55.6</v>
      </c>
      <c r="E127" s="482">
        <f>SUM(E113:E124)</f>
        <v>48.999999999999993</v>
      </c>
      <c r="F127" s="575"/>
      <c r="G127" s="429"/>
      <c r="H127" s="481">
        <f>SUM(H113:H124)</f>
        <v>99.899999999999991</v>
      </c>
      <c r="I127" s="482">
        <f>SUM(I113:I124)</f>
        <v>59.025893000000003</v>
      </c>
      <c r="J127" s="482">
        <f>SUM(J113:J124)</f>
        <v>52.430136610000005</v>
      </c>
      <c r="K127" s="483"/>
      <c r="L127" s="445"/>
    </row>
    <row r="128" spans="1:12" x14ac:dyDescent="0.25">
      <c r="A128" s="445"/>
      <c r="B128" s="480" t="s">
        <v>203</v>
      </c>
      <c r="C128" s="574">
        <v>-75.3</v>
      </c>
      <c r="D128" s="482"/>
      <c r="E128" s="482"/>
      <c r="F128" s="575"/>
      <c r="G128" s="429"/>
      <c r="H128" s="481">
        <v>-75.3</v>
      </c>
      <c r="I128" s="482"/>
      <c r="J128" s="482"/>
      <c r="K128" s="483"/>
      <c r="L128" s="445"/>
    </row>
    <row r="129" spans="1:12" x14ac:dyDescent="0.25">
      <c r="A129" s="445"/>
      <c r="B129" s="480" t="s">
        <v>204</v>
      </c>
      <c r="C129" s="574"/>
      <c r="D129" s="482">
        <v>5</v>
      </c>
      <c r="E129" s="482"/>
      <c r="F129" s="575"/>
      <c r="G129" s="429"/>
      <c r="H129" s="481">
        <v>0</v>
      </c>
      <c r="I129" s="482">
        <v>5</v>
      </c>
      <c r="J129" s="482"/>
      <c r="K129" s="483"/>
      <c r="L129" s="445"/>
    </row>
    <row r="130" spans="1:12" x14ac:dyDescent="0.25">
      <c r="A130" s="445"/>
      <c r="B130" s="480" t="s">
        <v>206</v>
      </c>
      <c r="C130" s="574">
        <f>C125+C126+C128</f>
        <v>18.000000000000014</v>
      </c>
      <c r="D130" s="482">
        <f>D125-D127-D129</f>
        <v>-13.899999999999999</v>
      </c>
      <c r="E130" s="482"/>
      <c r="F130" s="575"/>
      <c r="G130" s="429"/>
      <c r="H130" s="481">
        <f>H125+H126+H128+H129</f>
        <v>18.000000000000014</v>
      </c>
      <c r="I130" s="482">
        <f>I125-I127-I129</f>
        <v>-17.540893000000004</v>
      </c>
      <c r="J130" s="482">
        <f>J125-J127+J129</f>
        <v>-3.6801366100000052</v>
      </c>
      <c r="K130" s="483"/>
      <c r="L130" s="484"/>
    </row>
    <row r="131" spans="1:12" ht="15.75" thickBot="1" x14ac:dyDescent="0.3">
      <c r="A131" s="413"/>
      <c r="B131" s="480" t="s">
        <v>208</v>
      </c>
      <c r="C131" s="576">
        <v>18</v>
      </c>
      <c r="D131" s="577">
        <f>C131+D130</f>
        <v>4.1000000000000014</v>
      </c>
      <c r="E131" s="577"/>
      <c r="F131" s="578"/>
      <c r="G131" s="429"/>
      <c r="H131" s="485">
        <v>18</v>
      </c>
      <c r="I131" s="486">
        <f>I130+H130</f>
        <v>0.45910700000001015</v>
      </c>
      <c r="J131" s="487">
        <f>I131+J130</f>
        <v>-3.2210296099999951</v>
      </c>
      <c r="K131" s="488"/>
      <c r="L131" s="484"/>
    </row>
    <row r="132" spans="1:12" ht="16.5" thickTop="1" thickBot="1" x14ac:dyDescent="0.3">
      <c r="A132" s="445"/>
      <c r="B132" s="442"/>
      <c r="C132" s="444"/>
      <c r="D132" s="444"/>
      <c r="E132" s="444"/>
      <c r="F132" s="444"/>
      <c r="G132" s="429"/>
      <c r="H132" s="444"/>
      <c r="I132" s="489"/>
      <c r="J132" s="444"/>
      <c r="K132" s="444"/>
      <c r="L132" s="484"/>
    </row>
    <row r="133" spans="1:12" ht="16.5" thickTop="1" thickBot="1" x14ac:dyDescent="0.3">
      <c r="A133" s="645" t="s">
        <v>408</v>
      </c>
      <c r="B133" s="645"/>
      <c r="C133" s="614" t="s">
        <v>409</v>
      </c>
      <c r="D133" s="615"/>
      <c r="E133" s="615"/>
      <c r="F133" s="616"/>
      <c r="G133" s="452"/>
      <c r="H133" s="646" t="s">
        <v>2</v>
      </c>
      <c r="I133" s="647"/>
      <c r="J133" s="647"/>
      <c r="K133" s="648"/>
      <c r="L133" s="586"/>
    </row>
    <row r="134" spans="1:12" ht="39.75" thickBot="1" x14ac:dyDescent="0.3">
      <c r="A134" s="385" t="s">
        <v>3</v>
      </c>
      <c r="B134" s="460" t="s">
        <v>4</v>
      </c>
      <c r="C134" s="525" t="s">
        <v>5</v>
      </c>
      <c r="D134" s="519" t="s">
        <v>6</v>
      </c>
      <c r="E134" s="519" t="s">
        <v>7</v>
      </c>
      <c r="F134" s="526" t="s">
        <v>8</v>
      </c>
      <c r="G134" s="410"/>
      <c r="H134" s="525" t="s">
        <v>5</v>
      </c>
      <c r="I134" s="519" t="s">
        <v>6</v>
      </c>
      <c r="J134" s="519" t="s">
        <v>7</v>
      </c>
      <c r="K134" s="526" t="s">
        <v>8</v>
      </c>
      <c r="L134" s="391" t="s">
        <v>411</v>
      </c>
    </row>
    <row r="135" spans="1:12" x14ac:dyDescent="0.25">
      <c r="A135" s="490" t="s">
        <v>212</v>
      </c>
      <c r="B135" s="392" t="s">
        <v>213</v>
      </c>
      <c r="C135" s="552">
        <v>8.4</v>
      </c>
      <c r="D135" s="491">
        <v>8.1</v>
      </c>
      <c r="E135" s="491">
        <v>8.5</v>
      </c>
      <c r="F135" s="553">
        <f t="shared" ref="F135:F158" si="10">D135+E135</f>
        <v>16.600000000000001</v>
      </c>
      <c r="H135" s="552">
        <v>8.4</v>
      </c>
      <c r="I135" s="491">
        <v>8.1</v>
      </c>
      <c r="J135" s="491">
        <v>8.5</v>
      </c>
      <c r="K135" s="553">
        <f t="shared" ref="K135:K140" si="11">SUM(I135:J135)</f>
        <v>16.600000000000001</v>
      </c>
      <c r="L135" s="492"/>
    </row>
    <row r="136" spans="1:12" x14ac:dyDescent="0.25">
      <c r="A136" s="490" t="s">
        <v>212</v>
      </c>
      <c r="B136" s="392" t="s">
        <v>215</v>
      </c>
      <c r="C136" s="552">
        <v>5.8</v>
      </c>
      <c r="D136" s="491">
        <v>5.9</v>
      </c>
      <c r="E136" s="491">
        <v>6</v>
      </c>
      <c r="F136" s="553">
        <f t="shared" si="10"/>
        <v>11.9</v>
      </c>
      <c r="H136" s="552">
        <v>5.8</v>
      </c>
      <c r="I136" s="491">
        <v>5.9</v>
      </c>
      <c r="J136" s="491">
        <v>6</v>
      </c>
      <c r="K136" s="553">
        <f t="shared" si="11"/>
        <v>11.9</v>
      </c>
      <c r="L136" s="398"/>
    </row>
    <row r="137" spans="1:12" x14ac:dyDescent="0.25">
      <c r="A137" s="490" t="s">
        <v>212</v>
      </c>
      <c r="B137" s="392" t="s">
        <v>217</v>
      </c>
      <c r="C137" s="552">
        <v>18.100000000000001</v>
      </c>
      <c r="D137" s="491">
        <v>12.3</v>
      </c>
      <c r="E137" s="491">
        <v>12.6</v>
      </c>
      <c r="F137" s="553">
        <f t="shared" si="10"/>
        <v>24.9</v>
      </c>
      <c r="H137" s="552">
        <v>18.100000000000001</v>
      </c>
      <c r="I137" s="491">
        <v>12.3</v>
      </c>
      <c r="J137" s="491">
        <v>12.6</v>
      </c>
      <c r="K137" s="553">
        <f t="shared" si="11"/>
        <v>24.9</v>
      </c>
      <c r="L137" s="398"/>
    </row>
    <row r="138" spans="1:12" x14ac:dyDescent="0.25">
      <c r="A138" s="490" t="s">
        <v>212</v>
      </c>
      <c r="B138" s="392" t="s">
        <v>219</v>
      </c>
      <c r="C138" s="552">
        <v>1.8</v>
      </c>
      <c r="D138" s="491">
        <v>2.5</v>
      </c>
      <c r="E138" s="491">
        <v>2.6</v>
      </c>
      <c r="F138" s="553">
        <f t="shared" si="10"/>
        <v>5.0999999999999996</v>
      </c>
      <c r="H138" s="552">
        <v>1.8</v>
      </c>
      <c r="I138" s="491">
        <v>2.5</v>
      </c>
      <c r="J138" s="491">
        <v>2.6</v>
      </c>
      <c r="K138" s="553">
        <f t="shared" si="11"/>
        <v>5.0999999999999996</v>
      </c>
      <c r="L138" s="423"/>
    </row>
    <row r="139" spans="1:12" x14ac:dyDescent="0.25">
      <c r="A139" s="490" t="s">
        <v>220</v>
      </c>
      <c r="B139" s="392" t="s">
        <v>196</v>
      </c>
      <c r="C139" s="552">
        <v>1.3</v>
      </c>
      <c r="D139" s="505">
        <v>3.4</v>
      </c>
      <c r="E139" s="551">
        <v>2.9</v>
      </c>
      <c r="F139" s="565">
        <f t="shared" si="10"/>
        <v>6.3</v>
      </c>
      <c r="H139" s="552">
        <v>1.3</v>
      </c>
      <c r="I139" s="505">
        <v>3.4</v>
      </c>
      <c r="J139" s="505">
        <v>4.4000000000000004</v>
      </c>
      <c r="K139" s="565">
        <f t="shared" si="11"/>
        <v>7.8000000000000007</v>
      </c>
      <c r="L139" s="398"/>
    </row>
    <row r="140" spans="1:12" ht="26.25" x14ac:dyDescent="0.25">
      <c r="A140" s="490" t="s">
        <v>220</v>
      </c>
      <c r="B140" s="392" t="s">
        <v>222</v>
      </c>
      <c r="C140" s="552">
        <v>13.3</v>
      </c>
      <c r="D140" s="551">
        <v>9.5</v>
      </c>
      <c r="E140" s="551">
        <v>9.8000000000000007</v>
      </c>
      <c r="F140" s="565">
        <f t="shared" si="10"/>
        <v>19.3</v>
      </c>
      <c r="H140" s="552">
        <v>13.3</v>
      </c>
      <c r="I140" s="505">
        <v>9.6</v>
      </c>
      <c r="J140" s="505">
        <v>9.9</v>
      </c>
      <c r="K140" s="565">
        <f t="shared" si="11"/>
        <v>19.5</v>
      </c>
      <c r="L140" s="398" t="s">
        <v>442</v>
      </c>
    </row>
    <row r="141" spans="1:12" x14ac:dyDescent="0.25">
      <c r="A141" s="490" t="s">
        <v>220</v>
      </c>
      <c r="B141" s="392" t="s">
        <v>224</v>
      </c>
      <c r="C141" s="552">
        <v>0.5</v>
      </c>
      <c r="D141" s="491">
        <v>0.5</v>
      </c>
      <c r="E141" s="491">
        <v>0.5</v>
      </c>
      <c r="F141" s="553">
        <f t="shared" si="10"/>
        <v>1</v>
      </c>
      <c r="H141" s="552">
        <v>0.5</v>
      </c>
      <c r="I141" s="491">
        <v>0.5</v>
      </c>
      <c r="J141" s="491">
        <v>0.5</v>
      </c>
      <c r="K141" s="553">
        <f t="shared" ref="K141:K146" si="12">SUM(I141:J141)</f>
        <v>1</v>
      </c>
      <c r="L141" s="398"/>
    </row>
    <row r="142" spans="1:12" x14ac:dyDescent="0.25">
      <c r="A142" s="490" t="s">
        <v>226</v>
      </c>
      <c r="B142" s="392" t="s">
        <v>227</v>
      </c>
      <c r="C142" s="552">
        <v>8.9</v>
      </c>
      <c r="D142" s="491">
        <v>5.6</v>
      </c>
      <c r="E142" s="551">
        <v>5.7</v>
      </c>
      <c r="F142" s="565">
        <f t="shared" si="10"/>
        <v>11.3</v>
      </c>
      <c r="H142" s="552">
        <v>8.9</v>
      </c>
      <c r="I142" s="491">
        <v>5.6</v>
      </c>
      <c r="J142" s="491">
        <v>5</v>
      </c>
      <c r="K142" s="553">
        <f t="shared" si="12"/>
        <v>10.6</v>
      </c>
      <c r="L142" s="493"/>
    </row>
    <row r="143" spans="1:12" x14ac:dyDescent="0.25">
      <c r="A143" s="490" t="s">
        <v>226</v>
      </c>
      <c r="B143" s="392" t="s">
        <v>229</v>
      </c>
      <c r="C143" s="552">
        <v>0.75</v>
      </c>
      <c r="D143" s="551">
        <v>0.8</v>
      </c>
      <c r="E143" s="505">
        <v>0.8</v>
      </c>
      <c r="F143" s="565">
        <f t="shared" si="10"/>
        <v>1.6</v>
      </c>
      <c r="H143" s="552">
        <v>0.75</v>
      </c>
      <c r="I143" s="505">
        <v>0.7</v>
      </c>
      <c r="J143" s="505">
        <v>0.8</v>
      </c>
      <c r="K143" s="565">
        <f t="shared" si="12"/>
        <v>1.5</v>
      </c>
      <c r="L143" s="640"/>
    </row>
    <row r="144" spans="1:12" x14ac:dyDescent="0.25">
      <c r="A144" s="490" t="s">
        <v>226</v>
      </c>
      <c r="B144" s="392" t="s">
        <v>231</v>
      </c>
      <c r="C144" s="552">
        <v>1</v>
      </c>
      <c r="D144" s="551">
        <v>1</v>
      </c>
      <c r="E144" s="505">
        <v>1</v>
      </c>
      <c r="F144" s="565">
        <f t="shared" si="10"/>
        <v>2</v>
      </c>
      <c r="H144" s="552">
        <v>1</v>
      </c>
      <c r="I144" s="505">
        <v>0.9</v>
      </c>
      <c r="J144" s="505">
        <v>1</v>
      </c>
      <c r="K144" s="565">
        <f t="shared" si="12"/>
        <v>1.9</v>
      </c>
      <c r="L144" s="640"/>
    </row>
    <row r="145" spans="1:19" ht="39" x14ac:dyDescent="0.25">
      <c r="A145" s="490" t="s">
        <v>226</v>
      </c>
      <c r="B145" s="392" t="s">
        <v>232</v>
      </c>
      <c r="C145" s="552">
        <v>2</v>
      </c>
      <c r="D145" s="505">
        <v>2.1</v>
      </c>
      <c r="E145" s="505">
        <v>2.1</v>
      </c>
      <c r="F145" s="565">
        <f t="shared" si="10"/>
        <v>4.2</v>
      </c>
      <c r="H145" s="552">
        <v>2</v>
      </c>
      <c r="I145" s="491">
        <v>2.1</v>
      </c>
      <c r="J145" s="491">
        <v>2.1</v>
      </c>
      <c r="K145" s="553">
        <f t="shared" si="12"/>
        <v>4.2</v>
      </c>
      <c r="L145" s="493" t="s">
        <v>416</v>
      </c>
    </row>
    <row r="146" spans="1:19" ht="26.25" x14ac:dyDescent="0.25">
      <c r="A146" s="490" t="s">
        <v>226</v>
      </c>
      <c r="B146" s="392" t="s">
        <v>410</v>
      </c>
      <c r="C146" s="552"/>
      <c r="D146" s="551">
        <v>10.6</v>
      </c>
      <c r="E146" s="505">
        <v>0</v>
      </c>
      <c r="F146" s="565">
        <f t="shared" si="10"/>
        <v>10.6</v>
      </c>
      <c r="H146" s="552"/>
      <c r="I146" s="491">
        <v>0</v>
      </c>
      <c r="J146" s="491">
        <v>0</v>
      </c>
      <c r="K146" s="553">
        <f t="shared" si="12"/>
        <v>0</v>
      </c>
      <c r="L146" s="398" t="s">
        <v>446</v>
      </c>
    </row>
    <row r="147" spans="1:19" s="499" customFormat="1" x14ac:dyDescent="0.25">
      <c r="A147" s="494" t="s">
        <v>234</v>
      </c>
      <c r="B147" s="495" t="s">
        <v>235</v>
      </c>
      <c r="C147" s="554">
        <v>4</v>
      </c>
      <c r="D147" s="518">
        <v>0</v>
      </c>
      <c r="E147" s="500">
        <v>4.3</v>
      </c>
      <c r="F147" s="566">
        <f t="shared" si="10"/>
        <v>4.3</v>
      </c>
      <c r="G147" s="564"/>
      <c r="H147" s="554">
        <v>4</v>
      </c>
      <c r="I147" s="500">
        <v>4.2</v>
      </c>
      <c r="J147" s="500">
        <v>4.3</v>
      </c>
      <c r="K147" s="566">
        <f t="shared" ref="K147:K153" si="13">I147+J147</f>
        <v>8.5</v>
      </c>
      <c r="L147" s="592" t="s">
        <v>433</v>
      </c>
      <c r="M147" s="382"/>
      <c r="N147" s="382"/>
      <c r="O147" s="382"/>
      <c r="P147" s="382"/>
      <c r="Q147" s="382"/>
      <c r="R147" s="382"/>
      <c r="S147" s="382"/>
    </row>
    <row r="148" spans="1:19" s="499" customFormat="1" x14ac:dyDescent="0.25">
      <c r="A148" s="494" t="s">
        <v>234</v>
      </c>
      <c r="B148" s="495" t="s">
        <v>237</v>
      </c>
      <c r="C148" s="554">
        <v>0.7</v>
      </c>
      <c r="D148" s="496">
        <v>0</v>
      </c>
      <c r="E148" s="496">
        <v>0.7</v>
      </c>
      <c r="F148" s="555">
        <f t="shared" si="10"/>
        <v>0.7</v>
      </c>
      <c r="G148" s="497"/>
      <c r="H148" s="554">
        <v>0.7</v>
      </c>
      <c r="I148" s="496">
        <v>0</v>
      </c>
      <c r="J148" s="496">
        <v>0.7</v>
      </c>
      <c r="K148" s="555">
        <f t="shared" si="13"/>
        <v>0.7</v>
      </c>
      <c r="L148" s="498"/>
      <c r="M148" s="382"/>
      <c r="N148" s="382"/>
      <c r="O148" s="382"/>
      <c r="P148" s="382"/>
      <c r="Q148" s="382"/>
      <c r="R148" s="382"/>
      <c r="S148" s="382"/>
    </row>
    <row r="149" spans="1:19" s="499" customFormat="1" x14ac:dyDescent="0.25">
      <c r="A149" s="494" t="s">
        <v>234</v>
      </c>
      <c r="B149" s="495" t="s">
        <v>238</v>
      </c>
      <c r="C149" s="554">
        <v>5.2</v>
      </c>
      <c r="D149" s="496">
        <v>1.1000000000000001</v>
      </c>
      <c r="E149" s="496">
        <v>3.8</v>
      </c>
      <c r="F149" s="555">
        <f t="shared" si="10"/>
        <v>4.9000000000000004</v>
      </c>
      <c r="G149" s="497"/>
      <c r="H149" s="554">
        <v>5.2</v>
      </c>
      <c r="I149" s="496">
        <v>1.1000000000000001</v>
      </c>
      <c r="J149" s="496">
        <v>3.8</v>
      </c>
      <c r="K149" s="555">
        <f t="shared" si="13"/>
        <v>4.9000000000000004</v>
      </c>
      <c r="M149" s="382"/>
      <c r="N149" s="382"/>
      <c r="O149" s="382"/>
      <c r="P149" s="382"/>
      <c r="Q149" s="382"/>
      <c r="R149" s="382"/>
      <c r="S149" s="382"/>
    </row>
    <row r="150" spans="1:19" s="499" customFormat="1" x14ac:dyDescent="0.25">
      <c r="A150" s="494" t="s">
        <v>234</v>
      </c>
      <c r="B150" s="495" t="s">
        <v>239</v>
      </c>
      <c r="C150" s="554">
        <v>5.0999999999999996</v>
      </c>
      <c r="D150" s="496">
        <v>4.7</v>
      </c>
      <c r="E150" s="496">
        <v>4.9000000000000004</v>
      </c>
      <c r="F150" s="555">
        <f t="shared" si="10"/>
        <v>9.6000000000000014</v>
      </c>
      <c r="G150" s="497"/>
      <c r="H150" s="554">
        <v>5.0999999999999996</v>
      </c>
      <c r="I150" s="496">
        <v>4.7</v>
      </c>
      <c r="J150" s="496">
        <v>4.9000000000000004</v>
      </c>
      <c r="K150" s="555">
        <f t="shared" si="13"/>
        <v>9.6000000000000014</v>
      </c>
      <c r="L150" s="498"/>
      <c r="M150" s="382"/>
      <c r="N150" s="382"/>
      <c r="O150" s="382"/>
      <c r="P150" s="382"/>
      <c r="Q150" s="382"/>
      <c r="R150" s="382"/>
      <c r="S150" s="382"/>
    </row>
    <row r="151" spans="1:19" s="499" customFormat="1" x14ac:dyDescent="0.25">
      <c r="A151" s="494" t="s">
        <v>234</v>
      </c>
      <c r="B151" s="495" t="s">
        <v>241</v>
      </c>
      <c r="C151" s="554">
        <v>2.1</v>
      </c>
      <c r="D151" s="496">
        <v>1.5</v>
      </c>
      <c r="E151" s="496">
        <v>1.6</v>
      </c>
      <c r="F151" s="555">
        <f t="shared" si="10"/>
        <v>3.1</v>
      </c>
      <c r="G151" s="497"/>
      <c r="H151" s="554">
        <v>2.1</v>
      </c>
      <c r="I151" s="496">
        <v>1.5</v>
      </c>
      <c r="J151" s="496">
        <v>1.6</v>
      </c>
      <c r="K151" s="555">
        <f t="shared" si="13"/>
        <v>3.1</v>
      </c>
      <c r="L151" s="498"/>
      <c r="M151" s="382"/>
      <c r="N151" s="382"/>
      <c r="O151" s="382"/>
      <c r="P151" s="382"/>
      <c r="Q151" s="382"/>
      <c r="R151" s="382"/>
      <c r="S151" s="382"/>
    </row>
    <row r="152" spans="1:19" s="499" customFormat="1" x14ac:dyDescent="0.25">
      <c r="A152" s="494" t="s">
        <v>234</v>
      </c>
      <c r="B152" s="495" t="s">
        <v>243</v>
      </c>
      <c r="C152" s="554">
        <v>3.9</v>
      </c>
      <c r="D152" s="496">
        <v>4.8</v>
      </c>
      <c r="E152" s="496">
        <v>5</v>
      </c>
      <c r="F152" s="555">
        <f t="shared" si="10"/>
        <v>9.8000000000000007</v>
      </c>
      <c r="G152" s="497"/>
      <c r="H152" s="554">
        <v>3.9</v>
      </c>
      <c r="I152" s="496">
        <v>4.8</v>
      </c>
      <c r="J152" s="496">
        <v>5</v>
      </c>
      <c r="K152" s="555">
        <f t="shared" si="13"/>
        <v>9.8000000000000007</v>
      </c>
      <c r="L152" s="498"/>
      <c r="M152" s="382"/>
      <c r="N152" s="382"/>
      <c r="O152" s="382"/>
      <c r="P152" s="382"/>
      <c r="Q152" s="382"/>
      <c r="R152" s="382"/>
      <c r="S152" s="382"/>
    </row>
    <row r="153" spans="1:19" s="499" customFormat="1" x14ac:dyDescent="0.25">
      <c r="A153" s="494" t="s">
        <v>234</v>
      </c>
      <c r="B153" s="495" t="s">
        <v>245</v>
      </c>
      <c r="C153" s="554">
        <v>1.5</v>
      </c>
      <c r="D153" s="496">
        <v>2.2000000000000002</v>
      </c>
      <c r="E153" s="496">
        <v>0</v>
      </c>
      <c r="F153" s="555">
        <f t="shared" si="10"/>
        <v>2.2000000000000002</v>
      </c>
      <c r="G153" s="497"/>
      <c r="H153" s="554">
        <v>1.5</v>
      </c>
      <c r="I153" s="496">
        <v>2.2000000000000002</v>
      </c>
      <c r="J153" s="496">
        <v>0</v>
      </c>
      <c r="K153" s="555">
        <f t="shared" si="13"/>
        <v>2.2000000000000002</v>
      </c>
      <c r="L153" s="498"/>
      <c r="M153" s="382"/>
      <c r="N153" s="382"/>
      <c r="O153" s="382"/>
      <c r="P153" s="382"/>
      <c r="Q153" s="382"/>
      <c r="R153" s="382"/>
      <c r="S153" s="382"/>
    </row>
    <row r="154" spans="1:19" s="499" customFormat="1" x14ac:dyDescent="0.25">
      <c r="A154" s="494" t="s">
        <v>234</v>
      </c>
      <c r="B154" s="495" t="s">
        <v>246</v>
      </c>
      <c r="C154" s="554">
        <v>3.9</v>
      </c>
      <c r="D154" s="496">
        <v>4</v>
      </c>
      <c r="E154" s="496">
        <v>4.3</v>
      </c>
      <c r="F154" s="555">
        <f t="shared" si="10"/>
        <v>8.3000000000000007</v>
      </c>
      <c r="G154" s="497"/>
      <c r="H154" s="567">
        <v>3.9</v>
      </c>
      <c r="I154" s="501">
        <v>3.6</v>
      </c>
      <c r="J154" s="501">
        <v>4.3</v>
      </c>
      <c r="K154" s="568">
        <f t="shared" ref="K154:K164" si="14">SUM(I154:J154)</f>
        <v>7.9</v>
      </c>
      <c r="L154" s="498"/>
      <c r="M154" s="382"/>
      <c r="N154" s="382"/>
      <c r="O154" s="382"/>
      <c r="P154" s="382"/>
      <c r="Q154" s="382"/>
      <c r="R154" s="382"/>
      <c r="S154" s="382"/>
    </row>
    <row r="155" spans="1:19" s="499" customFormat="1" x14ac:dyDescent="0.25">
      <c r="A155" s="502" t="s">
        <v>234</v>
      </c>
      <c r="B155" s="495" t="s">
        <v>248</v>
      </c>
      <c r="C155" s="554">
        <v>0.1</v>
      </c>
      <c r="D155" s="496">
        <v>0.1</v>
      </c>
      <c r="E155" s="496">
        <v>0.1</v>
      </c>
      <c r="F155" s="555">
        <f t="shared" si="10"/>
        <v>0.2</v>
      </c>
      <c r="G155" s="497"/>
      <c r="H155" s="567">
        <v>0.1</v>
      </c>
      <c r="I155" s="501">
        <v>0.1</v>
      </c>
      <c r="J155" s="501">
        <v>0.1</v>
      </c>
      <c r="K155" s="568">
        <f t="shared" si="14"/>
        <v>0.2</v>
      </c>
      <c r="L155" s="498"/>
      <c r="M155" s="382"/>
      <c r="N155" s="382"/>
      <c r="O155" s="382"/>
      <c r="P155" s="382"/>
      <c r="Q155" s="382"/>
      <c r="R155" s="382"/>
      <c r="S155" s="382"/>
    </row>
    <row r="156" spans="1:19" s="499" customFormat="1" x14ac:dyDescent="0.25">
      <c r="A156" s="502" t="s">
        <v>234</v>
      </c>
      <c r="B156" s="495" t="s">
        <v>250</v>
      </c>
      <c r="C156" s="554">
        <v>3.2</v>
      </c>
      <c r="D156" s="496">
        <v>1</v>
      </c>
      <c r="E156" s="496">
        <v>3.2</v>
      </c>
      <c r="F156" s="555">
        <f t="shared" si="10"/>
        <v>4.2</v>
      </c>
      <c r="G156" s="497"/>
      <c r="H156" s="554">
        <v>3.2</v>
      </c>
      <c r="I156" s="496">
        <v>1</v>
      </c>
      <c r="J156" s="496">
        <v>3.2</v>
      </c>
      <c r="K156" s="555">
        <f t="shared" ref="K156" si="15">I156+J156</f>
        <v>4.2</v>
      </c>
      <c r="L156" s="498"/>
      <c r="M156" s="382"/>
      <c r="N156" s="382"/>
      <c r="O156" s="382"/>
      <c r="P156" s="382"/>
      <c r="Q156" s="382"/>
      <c r="R156" s="382"/>
      <c r="S156" s="382"/>
    </row>
    <row r="157" spans="1:19" s="499" customFormat="1" x14ac:dyDescent="0.25">
      <c r="A157" s="502" t="s">
        <v>234</v>
      </c>
      <c r="B157" s="495" t="s">
        <v>252</v>
      </c>
      <c r="C157" s="554">
        <v>0.6</v>
      </c>
      <c r="D157" s="496">
        <v>0.3</v>
      </c>
      <c r="E157" s="496">
        <v>0.3</v>
      </c>
      <c r="F157" s="555">
        <f t="shared" si="10"/>
        <v>0.6</v>
      </c>
      <c r="G157" s="497"/>
      <c r="H157" s="567">
        <v>0.6</v>
      </c>
      <c r="I157" s="501">
        <v>0.3</v>
      </c>
      <c r="J157" s="501">
        <v>0.3</v>
      </c>
      <c r="K157" s="568">
        <f t="shared" si="14"/>
        <v>0.6</v>
      </c>
      <c r="L157" s="498"/>
      <c r="M157" s="382"/>
      <c r="N157" s="382"/>
      <c r="O157" s="382"/>
      <c r="P157" s="382"/>
      <c r="Q157" s="382"/>
      <c r="R157" s="382"/>
      <c r="S157" s="382"/>
    </row>
    <row r="158" spans="1:19" s="499" customFormat="1" x14ac:dyDescent="0.25">
      <c r="A158" s="502" t="s">
        <v>234</v>
      </c>
      <c r="B158" s="495" t="s">
        <v>254</v>
      </c>
      <c r="C158" s="554"/>
      <c r="D158" s="496">
        <v>4.7</v>
      </c>
      <c r="E158" s="496">
        <v>4.9000000000000004</v>
      </c>
      <c r="F158" s="555">
        <f t="shared" si="10"/>
        <v>9.6000000000000014</v>
      </c>
      <c r="G158" s="497"/>
      <c r="H158" s="567"/>
      <c r="I158" s="501">
        <v>4.7</v>
      </c>
      <c r="J158" s="501">
        <v>4.9000000000000004</v>
      </c>
      <c r="K158" s="568">
        <f t="shared" si="14"/>
        <v>9.6000000000000014</v>
      </c>
      <c r="L158" s="498"/>
      <c r="M158" s="382"/>
      <c r="N158" s="382"/>
      <c r="O158" s="382"/>
      <c r="P158" s="382"/>
      <c r="Q158" s="382"/>
      <c r="R158" s="382"/>
      <c r="S158" s="382"/>
    </row>
    <row r="159" spans="1:19" ht="64.5" x14ac:dyDescent="0.25">
      <c r="A159" s="604" t="s">
        <v>234</v>
      </c>
      <c r="B159" s="600" t="s">
        <v>256</v>
      </c>
      <c r="C159" s="552"/>
      <c r="D159" s="491">
        <v>0</v>
      </c>
      <c r="E159" s="491">
        <v>0</v>
      </c>
      <c r="F159" s="553">
        <v>0</v>
      </c>
      <c r="H159" s="552"/>
      <c r="I159" s="550">
        <v>3.5249999999999999</v>
      </c>
      <c r="J159" s="550">
        <f>3.525*1.03</f>
        <v>3.6307499999999999</v>
      </c>
      <c r="K159" s="553">
        <f t="shared" si="14"/>
        <v>7.1557499999999994</v>
      </c>
      <c r="L159" s="398" t="s">
        <v>417</v>
      </c>
    </row>
    <row r="160" spans="1:19" ht="26.25" x14ac:dyDescent="0.25">
      <c r="A160" s="503" t="s">
        <v>258</v>
      </c>
      <c r="B160" s="601" t="s">
        <v>259</v>
      </c>
      <c r="C160" s="556"/>
      <c r="D160" s="551">
        <v>6.9</v>
      </c>
      <c r="E160" s="491">
        <v>0</v>
      </c>
      <c r="F160" s="565">
        <f>D160+E160</f>
        <v>6.9</v>
      </c>
      <c r="H160" s="556"/>
      <c r="I160" s="550">
        <v>0</v>
      </c>
      <c r="J160" s="505">
        <v>0</v>
      </c>
      <c r="K160" s="553">
        <f t="shared" si="14"/>
        <v>0</v>
      </c>
      <c r="L160" s="398" t="s">
        <v>420</v>
      </c>
    </row>
    <row r="161" spans="1:19" ht="26.25" x14ac:dyDescent="0.25">
      <c r="A161" s="604" t="s">
        <v>258</v>
      </c>
      <c r="B161" s="601" t="s">
        <v>261</v>
      </c>
      <c r="C161" s="556"/>
      <c r="D161" s="491">
        <v>0</v>
      </c>
      <c r="E161" s="491">
        <v>0</v>
      </c>
      <c r="F161" s="553">
        <v>0</v>
      </c>
      <c r="H161" s="556"/>
      <c r="I161" s="550">
        <v>17.5</v>
      </c>
      <c r="J161" s="505"/>
      <c r="K161" s="553"/>
      <c r="L161" s="398" t="s">
        <v>421</v>
      </c>
    </row>
    <row r="162" spans="1:19" x14ac:dyDescent="0.25">
      <c r="A162" s="503" t="s">
        <v>262</v>
      </c>
      <c r="B162" s="504" t="s">
        <v>263</v>
      </c>
      <c r="C162" s="556"/>
      <c r="D162" s="491">
        <v>4</v>
      </c>
      <c r="E162" s="491">
        <v>0</v>
      </c>
      <c r="F162" s="553">
        <f>D162+E162</f>
        <v>4</v>
      </c>
      <c r="H162" s="556"/>
      <c r="I162" s="491">
        <v>4</v>
      </c>
      <c r="J162" s="491">
        <v>0</v>
      </c>
      <c r="K162" s="553">
        <f t="shared" si="14"/>
        <v>4</v>
      </c>
      <c r="L162" s="398"/>
    </row>
    <row r="163" spans="1:19" x14ac:dyDescent="0.25">
      <c r="A163" s="503" t="s">
        <v>57</v>
      </c>
      <c r="B163" s="392" t="s">
        <v>265</v>
      </c>
      <c r="C163" s="552">
        <v>8.1999999999999993</v>
      </c>
      <c r="D163" s="491">
        <v>6.9</v>
      </c>
      <c r="E163" s="491">
        <v>6.9</v>
      </c>
      <c r="F163" s="553">
        <f>D163+E163</f>
        <v>13.8</v>
      </c>
      <c r="H163" s="552">
        <v>8.1999999999999993</v>
      </c>
      <c r="I163" s="491">
        <v>6.9</v>
      </c>
      <c r="J163" s="491">
        <v>7.1</v>
      </c>
      <c r="K163" s="553">
        <f t="shared" si="14"/>
        <v>14</v>
      </c>
      <c r="L163" s="398"/>
    </row>
    <row r="164" spans="1:19" x14ac:dyDescent="0.25">
      <c r="A164" s="503" t="s">
        <v>57</v>
      </c>
      <c r="B164" s="392" t="s">
        <v>267</v>
      </c>
      <c r="C164" s="556"/>
      <c r="D164" s="505">
        <v>2.2999999999999998</v>
      </c>
      <c r="E164" s="505">
        <v>0</v>
      </c>
      <c r="F164" s="565">
        <f>D164+E164</f>
        <v>2.2999999999999998</v>
      </c>
      <c r="H164" s="556"/>
      <c r="I164" s="491">
        <v>2.2999999999999998</v>
      </c>
      <c r="J164" s="491">
        <v>0</v>
      </c>
      <c r="K164" s="553">
        <f t="shared" si="14"/>
        <v>2.2999999999999998</v>
      </c>
      <c r="L164" s="506"/>
    </row>
    <row r="165" spans="1:19" ht="26.25" x14ac:dyDescent="0.25">
      <c r="A165" s="427"/>
      <c r="B165" s="507" t="s">
        <v>432</v>
      </c>
      <c r="C165" s="557">
        <v>233.5</v>
      </c>
      <c r="D165" s="558">
        <v>77.8</v>
      </c>
      <c r="E165" s="558">
        <v>81.5</v>
      </c>
      <c r="F165" s="559">
        <f>D165+E165</f>
        <v>159.30000000000001</v>
      </c>
      <c r="G165" s="429"/>
      <c r="H165" s="557">
        <v>233.5</v>
      </c>
      <c r="I165" s="540">
        <v>77.400000000000006</v>
      </c>
      <c r="J165" s="540">
        <v>81.25</v>
      </c>
      <c r="K165" s="569">
        <f>I165+J165</f>
        <v>158.65</v>
      </c>
      <c r="L165" s="586" t="s">
        <v>429</v>
      </c>
    </row>
    <row r="166" spans="1:19" x14ac:dyDescent="0.25">
      <c r="A166" s="427"/>
      <c r="B166" s="508" t="s">
        <v>272</v>
      </c>
      <c r="C166" s="557">
        <v>-10.3</v>
      </c>
      <c r="D166" s="558"/>
      <c r="E166" s="558"/>
      <c r="F166" s="559"/>
      <c r="G166" s="429"/>
      <c r="H166" s="557">
        <v>-10.3</v>
      </c>
      <c r="I166" s="509"/>
      <c r="J166" s="509"/>
      <c r="K166" s="569"/>
    </row>
    <row r="167" spans="1:19" x14ac:dyDescent="0.25">
      <c r="A167" s="427"/>
      <c r="B167" s="508" t="s">
        <v>273</v>
      </c>
      <c r="C167" s="557">
        <f>SUM(C135:C164)</f>
        <v>100.35</v>
      </c>
      <c r="D167" s="558">
        <f>SUM(D135:D164)</f>
        <v>106.80000000000001</v>
      </c>
      <c r="E167" s="558">
        <f>SUM(E135:E164)</f>
        <v>92.5</v>
      </c>
      <c r="F167" s="559">
        <f>D167+E167</f>
        <v>199.3</v>
      </c>
      <c r="G167" s="429"/>
      <c r="H167" s="557">
        <f>SUM(H135:H164)</f>
        <v>100.35</v>
      </c>
      <c r="I167" s="509">
        <f>SUM(I135:I164)</f>
        <v>114.02500000000002</v>
      </c>
      <c r="J167" s="509">
        <f>SUM(J135:J164)</f>
        <v>97.230749999999986</v>
      </c>
      <c r="K167" s="569">
        <f>I167+J167</f>
        <v>211.25575000000001</v>
      </c>
    </row>
    <row r="168" spans="1:19" ht="26.25" x14ac:dyDescent="0.25">
      <c r="A168" s="427"/>
      <c r="B168" s="508" t="s">
        <v>274</v>
      </c>
      <c r="C168" s="557">
        <v>-41.25</v>
      </c>
      <c r="D168" s="558"/>
      <c r="E168" s="558"/>
      <c r="F168" s="559"/>
      <c r="G168" s="429"/>
      <c r="H168" s="557">
        <v>-41.25</v>
      </c>
      <c r="I168" s="509"/>
      <c r="J168" s="509"/>
      <c r="K168" s="569"/>
    </row>
    <row r="169" spans="1:19" x14ac:dyDescent="0.25">
      <c r="A169" s="427"/>
      <c r="B169" s="508" t="s">
        <v>276</v>
      </c>
      <c r="C169" s="557"/>
      <c r="D169" s="558">
        <v>15.9</v>
      </c>
      <c r="E169" s="558"/>
      <c r="F169" s="559">
        <f>D169</f>
        <v>15.9</v>
      </c>
      <c r="G169" s="429"/>
      <c r="H169" s="557">
        <v>-15.5</v>
      </c>
      <c r="I169" s="509"/>
      <c r="J169" s="540">
        <v>8.1999999999999993</v>
      </c>
      <c r="K169" s="572">
        <f>-H169-J169</f>
        <v>7.3000000000000007</v>
      </c>
    </row>
    <row r="170" spans="1:19" x14ac:dyDescent="0.25">
      <c r="A170" s="427"/>
      <c r="B170" s="508" t="s">
        <v>278</v>
      </c>
      <c r="C170" s="557">
        <f>C165+C166+C168+C169-C172</f>
        <v>59.749999999999986</v>
      </c>
      <c r="D170" s="558">
        <f>D165-D167-D169</f>
        <v>-44.900000000000013</v>
      </c>
      <c r="E170" s="558">
        <f>E165-E167</f>
        <v>-11</v>
      </c>
      <c r="F170" s="559">
        <f>C170+D170+E170</f>
        <v>3.849999999999973</v>
      </c>
      <c r="G170" s="429"/>
      <c r="H170" s="557">
        <f>H165+H166+H168+H169-H172</f>
        <v>44.249999999999986</v>
      </c>
      <c r="I170" s="509">
        <f>I165-I167</f>
        <v>-36.625000000000014</v>
      </c>
      <c r="J170" s="509">
        <f>J165-J167+J169</f>
        <v>-7.780749999999987</v>
      </c>
      <c r="K170" s="569">
        <f>H170+I170+J170</f>
        <v>-0.15575000000001538</v>
      </c>
    </row>
    <row r="171" spans="1:19" x14ac:dyDescent="0.25">
      <c r="A171" s="427"/>
      <c r="B171" s="510" t="s">
        <v>280</v>
      </c>
      <c r="C171" s="557">
        <f>C170</f>
        <v>59.749999999999986</v>
      </c>
      <c r="D171" s="558"/>
      <c r="E171" s="558"/>
      <c r="F171" s="559"/>
      <c r="G171" s="429"/>
      <c r="H171" s="557">
        <f>H170</f>
        <v>44.249999999999986</v>
      </c>
      <c r="I171" s="509">
        <f>H170+I170</f>
        <v>7.6249999999999716</v>
      </c>
      <c r="J171" s="509">
        <f>I171+J170</f>
        <v>-0.15575000000001538</v>
      </c>
      <c r="K171" s="569"/>
    </row>
    <row r="172" spans="1:19" ht="15.75" thickBot="1" x14ac:dyDescent="0.3">
      <c r="A172" s="427"/>
      <c r="B172" s="511" t="s">
        <v>281</v>
      </c>
      <c r="C172" s="560">
        <f>122.2</f>
        <v>122.2</v>
      </c>
      <c r="D172" s="561">
        <v>6.9</v>
      </c>
      <c r="E172" s="561"/>
      <c r="F172" s="562">
        <f>C172+D172</f>
        <v>129.1</v>
      </c>
      <c r="G172" s="429"/>
      <c r="H172" s="560">
        <v>122.2</v>
      </c>
      <c r="I172" s="570">
        <f>I160</f>
        <v>0</v>
      </c>
      <c r="J172" s="570"/>
      <c r="K172" s="571">
        <f>H172+I172</f>
        <v>122.2</v>
      </c>
    </row>
    <row r="173" spans="1:19" s="427" customFormat="1" x14ac:dyDescent="0.25">
      <c r="B173" s="427" t="s">
        <v>283</v>
      </c>
      <c r="C173" s="396"/>
      <c r="D173" s="396"/>
      <c r="E173" s="396"/>
      <c r="F173" s="396"/>
      <c r="G173" s="396"/>
      <c r="H173" s="396"/>
      <c r="I173" s="396"/>
      <c r="J173" s="396"/>
      <c r="K173" s="396"/>
      <c r="M173" s="382"/>
      <c r="N173" s="382"/>
      <c r="O173" s="382"/>
      <c r="P173" s="382"/>
      <c r="Q173" s="382"/>
      <c r="R173" s="382"/>
      <c r="S173" s="382"/>
    </row>
    <row r="174" spans="1:19" s="427" customFormat="1" x14ac:dyDescent="0.25">
      <c r="C174" s="396"/>
      <c r="D174" s="396"/>
      <c r="E174" s="396"/>
      <c r="F174" s="396"/>
      <c r="G174" s="396"/>
      <c r="H174" s="396"/>
      <c r="I174" s="396"/>
      <c r="J174" s="396"/>
      <c r="K174" s="396"/>
      <c r="M174" s="382"/>
      <c r="N174" s="382"/>
      <c r="O174" s="382"/>
      <c r="P174" s="382"/>
      <c r="Q174" s="382"/>
      <c r="R174" s="382"/>
      <c r="S174" s="382"/>
    </row>
    <row r="175" spans="1:19" s="427" customFormat="1" x14ac:dyDescent="0.25">
      <c r="C175" s="396"/>
      <c r="D175" s="396"/>
      <c r="E175" s="396"/>
      <c r="F175" s="396"/>
      <c r="G175" s="396"/>
      <c r="H175" s="396"/>
      <c r="I175" s="396"/>
      <c r="J175" s="396"/>
      <c r="K175" s="396"/>
      <c r="M175" s="382"/>
      <c r="N175" s="382"/>
      <c r="O175" s="382"/>
      <c r="P175" s="382"/>
      <c r="Q175" s="382"/>
      <c r="R175" s="382"/>
      <c r="S175" s="382"/>
    </row>
    <row r="176" spans="1:19" s="427" customFormat="1" x14ac:dyDescent="0.25">
      <c r="C176" s="396"/>
      <c r="D176" s="396"/>
      <c r="E176" s="396"/>
      <c r="F176" s="396"/>
      <c r="G176" s="396"/>
      <c r="H176" s="396"/>
      <c r="I176" s="396"/>
      <c r="J176" s="396"/>
      <c r="K176" s="396"/>
      <c r="M176" s="382"/>
      <c r="N176" s="382"/>
      <c r="O176" s="382"/>
      <c r="P176" s="382"/>
      <c r="Q176" s="382"/>
      <c r="R176" s="382"/>
      <c r="S176" s="382"/>
    </row>
    <row r="177" spans="3:19" s="427" customFormat="1" x14ac:dyDescent="0.25">
      <c r="C177" s="396"/>
      <c r="D177" s="396"/>
      <c r="E177" s="396"/>
      <c r="F177" s="396"/>
      <c r="G177" s="396"/>
      <c r="H177" s="396"/>
      <c r="I177" s="396"/>
      <c r="J177" s="396"/>
      <c r="K177" s="396"/>
      <c r="M177" s="382"/>
      <c r="N177" s="382"/>
      <c r="O177" s="382"/>
      <c r="P177" s="382"/>
      <c r="Q177" s="382"/>
      <c r="R177" s="382"/>
      <c r="S177" s="382"/>
    </row>
    <row r="178" spans="3:19" s="427" customFormat="1" x14ac:dyDescent="0.25">
      <c r="C178" s="396"/>
      <c r="D178" s="396"/>
      <c r="E178" s="396"/>
      <c r="F178" s="396"/>
      <c r="G178" s="396"/>
      <c r="H178" s="396"/>
      <c r="I178" s="396"/>
      <c r="J178" s="396"/>
      <c r="K178" s="396"/>
      <c r="M178" s="382"/>
      <c r="N178" s="382"/>
      <c r="O178" s="382"/>
      <c r="P178" s="382"/>
      <c r="Q178" s="382"/>
      <c r="R178" s="382"/>
      <c r="S178" s="382"/>
    </row>
    <row r="179" spans="3:19" s="427" customFormat="1" x14ac:dyDescent="0.25">
      <c r="C179" s="396"/>
      <c r="D179" s="396"/>
      <c r="E179" s="396"/>
      <c r="F179" s="396"/>
      <c r="G179" s="396"/>
      <c r="H179" s="396"/>
      <c r="I179" s="396"/>
      <c r="J179" s="396"/>
      <c r="K179" s="396"/>
      <c r="M179" s="382"/>
      <c r="N179" s="382"/>
      <c r="O179" s="382"/>
      <c r="P179" s="382"/>
      <c r="Q179" s="382"/>
      <c r="R179" s="382"/>
      <c r="S179" s="382"/>
    </row>
    <row r="180" spans="3:19" s="427" customFormat="1" x14ac:dyDescent="0.25">
      <c r="C180" s="396"/>
      <c r="D180" s="396"/>
      <c r="E180" s="396"/>
      <c r="F180" s="396"/>
      <c r="G180" s="396"/>
      <c r="H180" s="396"/>
      <c r="I180" s="396"/>
      <c r="J180" s="396"/>
      <c r="K180" s="396"/>
      <c r="M180" s="382"/>
      <c r="N180" s="382"/>
      <c r="O180" s="382"/>
      <c r="P180" s="382"/>
      <c r="Q180" s="382"/>
      <c r="R180" s="382"/>
      <c r="S180" s="382"/>
    </row>
    <row r="181" spans="3:19" s="427" customFormat="1" x14ac:dyDescent="0.25">
      <c r="C181" s="396"/>
      <c r="D181" s="396"/>
      <c r="E181" s="396"/>
      <c r="F181" s="396"/>
      <c r="G181" s="396"/>
      <c r="H181" s="396"/>
      <c r="I181" s="396"/>
      <c r="J181" s="396"/>
      <c r="K181" s="396"/>
      <c r="M181" s="382"/>
      <c r="N181" s="382"/>
      <c r="O181" s="382"/>
      <c r="P181" s="382"/>
      <c r="Q181" s="382"/>
      <c r="R181" s="382"/>
      <c r="S181" s="382"/>
    </row>
  </sheetData>
  <mergeCells count="23">
    <mergeCell ref="L143:L144"/>
    <mergeCell ref="A111:B111"/>
    <mergeCell ref="H111:K111"/>
    <mergeCell ref="A133:B133"/>
    <mergeCell ref="H133:K133"/>
    <mergeCell ref="C111:F111"/>
    <mergeCell ref="L92:L93"/>
    <mergeCell ref="H1:K1"/>
    <mergeCell ref="H17:K17"/>
    <mergeCell ref="H43:K43"/>
    <mergeCell ref="H63:K63"/>
    <mergeCell ref="H85:K85"/>
    <mergeCell ref="C85:F85"/>
    <mergeCell ref="C133:F133"/>
    <mergeCell ref="C43:F43"/>
    <mergeCell ref="C63:F63"/>
    <mergeCell ref="A1:B1"/>
    <mergeCell ref="A63:B63"/>
    <mergeCell ref="A43:B43"/>
    <mergeCell ref="A17:B17"/>
    <mergeCell ref="A85:B85"/>
    <mergeCell ref="C17:F17"/>
    <mergeCell ref="C1:F1"/>
  </mergeCells>
  <pageMargins left="0.25" right="0.25" top="0.5" bottom="0.5" header="0.3" footer="0.3"/>
  <pageSetup paperSize="5" scale="62" fitToWidth="0" fitToHeight="0" orientation="landscape" r:id="rId1"/>
  <headerFooter>
    <oddHeader xml:space="preserve">&amp;LOur City, Our Home Fund, Crosswalk of City Proposals and Oversight Committee Recommendations </oddHeader>
  </headerFooter>
  <colBreaks count="1" manualBreakCount="1">
    <brk id="12" max="1048575" man="1"/>
  </colBreaks>
  <ignoredErrors>
    <ignoredError sqref="K138:K145 K137 E56 D79:E79"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8551F-5573-4FD0-90BB-81A969456F3F}">
  <sheetPr>
    <pageSetUpPr fitToPage="1"/>
  </sheetPr>
  <dimension ref="A1:T192"/>
  <sheetViews>
    <sheetView zoomScaleNormal="100" workbookViewId="0">
      <pane xSplit="2" ySplit="2" topLeftCell="C148" activePane="bottomRight" state="frozen"/>
      <selection pane="topRight" activeCell="C1" sqref="C1"/>
      <selection pane="bottomLeft" activeCell="A3" sqref="A3"/>
      <selection pane="bottomRight" activeCell="A156" sqref="A156:XFD156"/>
    </sheetView>
  </sheetViews>
  <sheetFormatPr defaultColWidth="9.140625" defaultRowHeight="15" x14ac:dyDescent="0.25"/>
  <cols>
    <col min="1" max="1" width="31.140625" style="1" customWidth="1"/>
    <col min="2" max="2" width="39.7109375" style="1" customWidth="1"/>
    <col min="3" max="3" width="18.28515625" style="76" customWidth="1"/>
    <col min="4" max="5" width="17.42578125" style="76" customWidth="1"/>
    <col min="6" max="6" width="18.28515625" style="76" customWidth="1"/>
    <col min="7" max="7" width="3.42578125" style="158" customWidth="1"/>
    <col min="8" max="8" width="18.28515625" style="76" customWidth="1"/>
    <col min="9" max="10" width="17.42578125" style="76" customWidth="1"/>
    <col min="11" max="11" width="18.28515625" style="76" customWidth="1"/>
    <col min="12" max="12" width="67.42578125" style="1" customWidth="1"/>
    <col min="13" max="13" width="49.140625" style="1" customWidth="1"/>
    <col min="14" max="14" width="60.140625" style="1" customWidth="1"/>
    <col min="15" max="16384" width="9.140625" style="1"/>
  </cols>
  <sheetData>
    <row r="1" spans="1:19" ht="19.5" hidden="1" thickBot="1" x14ac:dyDescent="0.35">
      <c r="A1" s="84" t="s">
        <v>0</v>
      </c>
      <c r="B1" s="178"/>
      <c r="C1" s="669" t="s">
        <v>1</v>
      </c>
      <c r="D1" s="670"/>
      <c r="E1" s="670"/>
      <c r="F1" s="671"/>
      <c r="G1" s="78"/>
      <c r="H1" s="677" t="s">
        <v>2</v>
      </c>
      <c r="I1" s="678"/>
      <c r="J1" s="678"/>
      <c r="K1" s="679"/>
      <c r="L1" s="32"/>
      <c r="M1" s="32"/>
      <c r="N1" s="32"/>
      <c r="O1" s="16"/>
      <c r="P1" s="16"/>
      <c r="Q1" s="16"/>
      <c r="R1" s="16"/>
      <c r="S1" s="16"/>
    </row>
    <row r="2" spans="1:19" ht="48" thickBot="1" x14ac:dyDescent="0.3">
      <c r="A2" s="10" t="s">
        <v>3</v>
      </c>
      <c r="B2" s="105" t="s">
        <v>4</v>
      </c>
      <c r="C2" s="147" t="s">
        <v>5</v>
      </c>
      <c r="D2" s="148" t="s">
        <v>6</v>
      </c>
      <c r="E2" s="148" t="s">
        <v>7</v>
      </c>
      <c r="F2" s="98" t="s">
        <v>8</v>
      </c>
      <c r="G2" s="157"/>
      <c r="H2" s="160" t="s">
        <v>5</v>
      </c>
      <c r="I2" s="161" t="s">
        <v>6</v>
      </c>
      <c r="J2" s="161" t="s">
        <v>7</v>
      </c>
      <c r="K2" s="98" t="s">
        <v>8</v>
      </c>
      <c r="L2" s="153" t="s">
        <v>9</v>
      </c>
      <c r="M2" s="213" t="s">
        <v>10</v>
      </c>
      <c r="N2" s="213" t="s">
        <v>11</v>
      </c>
      <c r="O2" s="16"/>
      <c r="P2" s="16"/>
      <c r="Q2" s="16"/>
      <c r="R2" s="16"/>
      <c r="S2" s="16"/>
    </row>
    <row r="3" spans="1:19" ht="15.75" x14ac:dyDescent="0.25">
      <c r="A3" s="16"/>
      <c r="B3" s="179" t="s">
        <v>12</v>
      </c>
      <c r="C3" s="152">
        <v>0.92500000000000004</v>
      </c>
      <c r="D3" s="149">
        <v>0.92800000000000005</v>
      </c>
      <c r="E3" s="149">
        <v>0.93700000000000006</v>
      </c>
      <c r="F3" s="136">
        <f t="shared" ref="F3:F11" si="0">E3+D3</f>
        <v>1.8650000000000002</v>
      </c>
      <c r="G3" s="81"/>
      <c r="H3" s="152">
        <v>0.92500000000000004</v>
      </c>
      <c r="I3" s="149">
        <v>0.92800000000000005</v>
      </c>
      <c r="J3" s="149">
        <v>0.93700000000000006</v>
      </c>
      <c r="K3" s="136">
        <f t="shared" ref="K3:K11" si="1">J3+I3</f>
        <v>1.8650000000000002</v>
      </c>
      <c r="L3" s="247"/>
      <c r="M3" s="248"/>
      <c r="N3" s="217"/>
      <c r="O3" s="16"/>
      <c r="P3" s="16"/>
      <c r="Q3" s="16"/>
      <c r="R3" s="16"/>
      <c r="S3" s="16"/>
    </row>
    <row r="4" spans="1:19" ht="15.75" x14ac:dyDescent="0.25">
      <c r="A4" s="16"/>
      <c r="B4" s="179" t="s">
        <v>13</v>
      </c>
      <c r="C4" s="152">
        <v>7.4999999999999997E-2</v>
      </c>
      <c r="D4" s="149">
        <v>7.4999999999999997E-2</v>
      </c>
      <c r="E4" s="149">
        <v>7.4999999999999997E-2</v>
      </c>
      <c r="F4" s="136">
        <f t="shared" si="0"/>
        <v>0.15</v>
      </c>
      <c r="G4" s="81"/>
      <c r="H4" s="152">
        <v>7.4999999999999997E-2</v>
      </c>
      <c r="I4" s="149">
        <v>7.4999999999999997E-2</v>
      </c>
      <c r="J4" s="149">
        <v>7.4999999999999997E-2</v>
      </c>
      <c r="K4" s="136">
        <f t="shared" si="1"/>
        <v>0.15</v>
      </c>
      <c r="L4" s="249"/>
      <c r="M4" s="239"/>
      <c r="N4" s="220"/>
      <c r="O4" s="16"/>
      <c r="P4" s="16"/>
      <c r="Q4" s="16"/>
      <c r="R4" s="16"/>
      <c r="S4" s="16"/>
    </row>
    <row r="5" spans="1:19" ht="15.75" x14ac:dyDescent="0.25">
      <c r="A5" s="16"/>
      <c r="B5" s="179" t="s">
        <v>14</v>
      </c>
      <c r="C5" s="152">
        <v>0.86</v>
      </c>
      <c r="D5" s="149">
        <v>1</v>
      </c>
      <c r="E5" s="149">
        <v>1</v>
      </c>
      <c r="F5" s="136">
        <f t="shared" si="0"/>
        <v>2</v>
      </c>
      <c r="G5" s="81"/>
      <c r="H5" s="152">
        <v>0.86</v>
      </c>
      <c r="I5" s="149">
        <v>1</v>
      </c>
      <c r="J5" s="149">
        <v>1</v>
      </c>
      <c r="K5" s="136">
        <f t="shared" si="1"/>
        <v>2</v>
      </c>
      <c r="L5" s="249"/>
      <c r="M5" s="239"/>
      <c r="N5" s="220"/>
      <c r="O5" s="16"/>
      <c r="P5" s="16"/>
      <c r="Q5" s="16"/>
      <c r="R5" s="16"/>
      <c r="S5" s="16"/>
    </row>
    <row r="6" spans="1:19" ht="47.25" x14ac:dyDescent="0.25">
      <c r="A6" s="16"/>
      <c r="B6" s="179" t="s">
        <v>15</v>
      </c>
      <c r="C6" s="152"/>
      <c r="D6" s="149"/>
      <c r="E6" s="149"/>
      <c r="F6" s="136">
        <f t="shared" si="0"/>
        <v>0</v>
      </c>
      <c r="G6" s="81"/>
      <c r="H6" s="152">
        <v>0</v>
      </c>
      <c r="I6" s="150">
        <v>1</v>
      </c>
      <c r="J6" s="150">
        <v>1</v>
      </c>
      <c r="K6" s="136">
        <f t="shared" si="1"/>
        <v>2</v>
      </c>
      <c r="L6" s="250"/>
      <c r="M6" s="253" t="s">
        <v>16</v>
      </c>
      <c r="N6" s="220"/>
      <c r="O6" s="16"/>
      <c r="P6" s="16"/>
      <c r="Q6" s="16"/>
      <c r="R6" s="16"/>
      <c r="S6" s="16"/>
    </row>
    <row r="7" spans="1:19" ht="15.75" x14ac:dyDescent="0.25">
      <c r="A7" s="16"/>
      <c r="B7" s="179" t="s">
        <v>17</v>
      </c>
      <c r="C7" s="152">
        <v>0.15</v>
      </c>
      <c r="D7" s="149">
        <v>0</v>
      </c>
      <c r="E7" s="149">
        <v>0</v>
      </c>
      <c r="F7" s="136">
        <f t="shared" si="0"/>
        <v>0</v>
      </c>
      <c r="G7" s="81"/>
      <c r="H7" s="152">
        <v>0.15</v>
      </c>
      <c r="I7" s="149">
        <v>0</v>
      </c>
      <c r="J7" s="149">
        <v>0</v>
      </c>
      <c r="K7" s="136">
        <f t="shared" si="1"/>
        <v>0</v>
      </c>
      <c r="L7" s="249"/>
      <c r="M7" s="239"/>
      <c r="N7" s="220"/>
      <c r="O7" s="16"/>
      <c r="P7" s="16"/>
      <c r="Q7" s="16"/>
      <c r="R7" s="16"/>
      <c r="S7" s="16"/>
    </row>
    <row r="8" spans="1:19" ht="31.5" x14ac:dyDescent="0.25">
      <c r="A8" s="16"/>
      <c r="B8" s="179" t="s">
        <v>18</v>
      </c>
      <c r="C8" s="152">
        <v>0.2</v>
      </c>
      <c r="D8" s="149">
        <v>0.2</v>
      </c>
      <c r="E8" s="149">
        <v>0.2</v>
      </c>
      <c r="F8" s="136">
        <f t="shared" si="0"/>
        <v>0.4</v>
      </c>
      <c r="G8" s="81"/>
      <c r="H8" s="152">
        <v>0.2</v>
      </c>
      <c r="I8" s="149">
        <v>0.2</v>
      </c>
      <c r="J8" s="149">
        <v>0.2</v>
      </c>
      <c r="K8" s="136">
        <f t="shared" si="1"/>
        <v>0.4</v>
      </c>
      <c r="L8" s="249"/>
      <c r="M8" s="239"/>
      <c r="N8" s="220"/>
      <c r="O8" s="16"/>
      <c r="P8" s="16"/>
      <c r="Q8" s="16"/>
      <c r="R8" s="16"/>
      <c r="S8" s="16"/>
    </row>
    <row r="9" spans="1:19" ht="15.75" x14ac:dyDescent="0.25">
      <c r="A9" s="16"/>
      <c r="B9" s="179" t="s">
        <v>19</v>
      </c>
      <c r="C9" s="152">
        <v>0.24</v>
      </c>
      <c r="D9" s="149">
        <v>0.247</v>
      </c>
      <c r="E9" s="149">
        <v>0.23799999999999999</v>
      </c>
      <c r="F9" s="136">
        <f t="shared" si="0"/>
        <v>0.48499999999999999</v>
      </c>
      <c r="G9" s="81"/>
      <c r="H9" s="152">
        <v>0.24</v>
      </c>
      <c r="I9" s="149">
        <v>0.247</v>
      </c>
      <c r="J9" s="149">
        <v>0.23799999999999999</v>
      </c>
      <c r="K9" s="136">
        <f t="shared" si="1"/>
        <v>0.48499999999999999</v>
      </c>
      <c r="L9" s="249"/>
      <c r="M9" s="239"/>
      <c r="N9" s="220"/>
      <c r="O9" s="16"/>
      <c r="P9" s="16"/>
      <c r="Q9" s="16"/>
      <c r="R9" s="16"/>
      <c r="S9" s="16"/>
    </row>
    <row r="10" spans="1:19" ht="31.5" x14ac:dyDescent="0.25">
      <c r="A10" s="16"/>
      <c r="B10" s="179" t="s">
        <v>20</v>
      </c>
      <c r="C10" s="152">
        <v>0.05</v>
      </c>
      <c r="D10" s="149">
        <v>0.05</v>
      </c>
      <c r="E10" s="149">
        <v>0.05</v>
      </c>
      <c r="F10" s="138">
        <f t="shared" si="0"/>
        <v>0.1</v>
      </c>
      <c r="G10" s="81"/>
      <c r="H10" s="152">
        <v>0.05</v>
      </c>
      <c r="I10" s="149">
        <v>0.05</v>
      </c>
      <c r="J10" s="149">
        <v>0.05</v>
      </c>
      <c r="K10" s="136">
        <f t="shared" si="1"/>
        <v>0.1</v>
      </c>
      <c r="L10" s="249"/>
      <c r="M10" s="239"/>
      <c r="N10" s="220"/>
      <c r="O10" s="16"/>
      <c r="P10" s="16"/>
      <c r="Q10" s="16"/>
      <c r="R10" s="16"/>
      <c r="S10" s="16"/>
    </row>
    <row r="11" spans="1:19" ht="31.5" x14ac:dyDescent="0.25">
      <c r="A11" s="16"/>
      <c r="B11" s="151" t="s">
        <v>21</v>
      </c>
      <c r="C11" s="93">
        <v>2.5</v>
      </c>
      <c r="D11" s="307">
        <v>2.5</v>
      </c>
      <c r="E11" s="307">
        <v>2.5</v>
      </c>
      <c r="F11" s="303">
        <f t="shared" si="0"/>
        <v>5</v>
      </c>
      <c r="G11" s="81"/>
      <c r="H11" s="93">
        <v>2.5</v>
      </c>
      <c r="I11" s="73">
        <v>3.5</v>
      </c>
      <c r="J11" s="73">
        <v>3.5</v>
      </c>
      <c r="K11" s="303">
        <f t="shared" si="1"/>
        <v>7</v>
      </c>
      <c r="L11" s="249"/>
      <c r="M11" s="239"/>
      <c r="N11" s="220"/>
      <c r="O11" s="16"/>
      <c r="P11" s="16"/>
      <c r="Q11" s="16"/>
      <c r="R11" s="16"/>
      <c r="S11" s="16"/>
    </row>
    <row r="12" spans="1:19" ht="31.5" x14ac:dyDescent="0.25">
      <c r="A12" s="16"/>
      <c r="B12" s="151" t="s">
        <v>22</v>
      </c>
      <c r="C12" s="93">
        <f>SUM(C3:C10)</f>
        <v>2.5</v>
      </c>
      <c r="D12" s="73">
        <f t="shared" ref="D12:E12" si="2">SUM(D3:D10)</f>
        <v>2.5</v>
      </c>
      <c r="E12" s="73">
        <f t="shared" si="2"/>
        <v>2.5</v>
      </c>
      <c r="F12" s="305"/>
      <c r="G12" s="81"/>
      <c r="H12" s="93">
        <f>SUM(H3:H10)</f>
        <v>2.5</v>
      </c>
      <c r="I12" s="73">
        <f>SUM(I3:I10)</f>
        <v>3.5</v>
      </c>
      <c r="J12" s="73">
        <f t="shared" ref="J12" si="3">SUM(J3:J10)</f>
        <v>3.5</v>
      </c>
      <c r="K12" s="302"/>
      <c r="L12" s="249"/>
      <c r="M12" s="239"/>
      <c r="N12" s="220"/>
      <c r="O12" s="16"/>
      <c r="P12" s="16"/>
      <c r="Q12" s="16"/>
      <c r="R12" s="16"/>
      <c r="S12" s="16"/>
    </row>
    <row r="13" spans="1:19" ht="31.5" x14ac:dyDescent="0.25">
      <c r="A13" s="16"/>
      <c r="B13" s="151" t="s">
        <v>23</v>
      </c>
      <c r="C13" s="94"/>
      <c r="D13" s="74"/>
      <c r="E13" s="74"/>
      <c r="F13" s="305"/>
      <c r="G13" s="81"/>
      <c r="H13" s="94"/>
      <c r="I13" s="74"/>
      <c r="J13" s="74"/>
      <c r="K13" s="302"/>
      <c r="L13" s="249"/>
      <c r="M13" s="239"/>
      <c r="N13" s="220"/>
      <c r="O13" s="16"/>
      <c r="P13" s="16"/>
      <c r="Q13" s="16"/>
      <c r="R13" s="16"/>
      <c r="S13" s="16"/>
    </row>
    <row r="14" spans="1:19" ht="31.5" x14ac:dyDescent="0.25">
      <c r="B14" s="151" t="s">
        <v>24</v>
      </c>
      <c r="C14" s="94"/>
      <c r="D14" s="74"/>
      <c r="E14" s="74"/>
      <c r="F14" s="305"/>
      <c r="G14" s="81"/>
      <c r="H14" s="94"/>
      <c r="I14" s="74"/>
      <c r="J14" s="74"/>
      <c r="K14" s="302"/>
      <c r="L14" s="249"/>
      <c r="M14" s="251"/>
      <c r="N14" s="252"/>
    </row>
    <row r="15" spans="1:19" ht="16.5" thickBot="1" x14ac:dyDescent="0.3">
      <c r="B15" s="151" t="s">
        <v>25</v>
      </c>
      <c r="C15" s="95"/>
      <c r="D15" s="75">
        <v>310.89999999999998</v>
      </c>
      <c r="E15" s="75">
        <v>326</v>
      </c>
      <c r="F15" s="306"/>
      <c r="G15" s="81"/>
      <c r="H15" s="95"/>
      <c r="I15" s="154">
        <v>309.89999999999998</v>
      </c>
      <c r="J15" s="154">
        <v>325</v>
      </c>
      <c r="K15" s="304"/>
      <c r="L15" s="244"/>
      <c r="M15" s="245"/>
      <c r="N15" s="246"/>
    </row>
    <row r="16" spans="1:19" ht="16.5" thickBot="1" x14ac:dyDescent="0.3">
      <c r="B16" s="86"/>
      <c r="C16" s="83"/>
      <c r="D16" s="83"/>
      <c r="E16" s="83"/>
      <c r="F16" s="72"/>
      <c r="G16" s="81"/>
      <c r="H16" s="83"/>
      <c r="I16" s="83"/>
      <c r="J16" s="83"/>
      <c r="K16" s="72"/>
      <c r="L16" s="16"/>
    </row>
    <row r="17" spans="1:16" ht="38.25" thickBot="1" x14ac:dyDescent="0.35">
      <c r="A17" s="87" t="s">
        <v>26</v>
      </c>
      <c r="B17" s="145"/>
      <c r="C17" s="666" t="s">
        <v>1</v>
      </c>
      <c r="D17" s="667"/>
      <c r="E17" s="667"/>
      <c r="F17" s="668"/>
      <c r="G17" s="79"/>
      <c r="H17" s="666" t="s">
        <v>2</v>
      </c>
      <c r="I17" s="667"/>
      <c r="J17" s="667"/>
      <c r="K17" s="668"/>
      <c r="L17" s="4"/>
      <c r="M17" s="4"/>
      <c r="N17" s="4"/>
      <c r="O17" s="3"/>
      <c r="P17" s="3"/>
    </row>
    <row r="18" spans="1:16" s="6" customFormat="1" ht="48" thickBot="1" x14ac:dyDescent="0.3">
      <c r="A18" s="103" t="s">
        <v>3</v>
      </c>
      <c r="B18" s="105" t="s">
        <v>4</v>
      </c>
      <c r="C18" s="110" t="s">
        <v>5</v>
      </c>
      <c r="D18" s="104" t="s">
        <v>6</v>
      </c>
      <c r="E18" s="104" t="s">
        <v>7</v>
      </c>
      <c r="F18" s="98" t="s">
        <v>8</v>
      </c>
      <c r="G18" s="83"/>
      <c r="H18" s="110" t="s">
        <v>5</v>
      </c>
      <c r="I18" s="104" t="s">
        <v>6</v>
      </c>
      <c r="J18" s="104" t="s">
        <v>7</v>
      </c>
      <c r="K18" s="98" t="s">
        <v>8</v>
      </c>
      <c r="L18" s="153" t="s">
        <v>9</v>
      </c>
      <c r="M18" s="213" t="s">
        <v>27</v>
      </c>
      <c r="N18" s="213" t="s">
        <v>11</v>
      </c>
      <c r="O18" s="5"/>
    </row>
    <row r="19" spans="1:16" s="6" customFormat="1" ht="94.5" x14ac:dyDescent="0.25">
      <c r="A19" s="26" t="s">
        <v>28</v>
      </c>
      <c r="B19" s="106" t="s">
        <v>29</v>
      </c>
      <c r="C19" s="100">
        <v>8.6</v>
      </c>
      <c r="D19" s="35">
        <f>5.0348+4.803018</f>
        <v>9.8378179999999986</v>
      </c>
      <c r="E19" s="35">
        <f>15+6.963706</f>
        <v>21.963706000000002</v>
      </c>
      <c r="F19" s="101">
        <f t="shared" ref="F19:F32" si="4">D19+E19</f>
        <v>31.801524000000001</v>
      </c>
      <c r="G19" s="124"/>
      <c r="H19" s="100">
        <v>8.6</v>
      </c>
      <c r="I19" s="91">
        <f>5.0348+4.803018+0.2</f>
        <v>10.037817999999998</v>
      </c>
      <c r="J19" s="91">
        <f>15+6.963706+0.2</f>
        <v>22.163706000000001</v>
      </c>
      <c r="K19" s="101">
        <f t="shared" ref="K19:K33" si="5">I19+J19</f>
        <v>32.201523999999999</v>
      </c>
      <c r="L19" s="237" t="s">
        <v>30</v>
      </c>
      <c r="M19" s="238" t="s">
        <v>31</v>
      </c>
      <c r="N19" s="230" t="s">
        <v>284</v>
      </c>
      <c r="O19" s="5"/>
    </row>
    <row r="20" spans="1:16" s="6" customFormat="1" ht="110.25" x14ac:dyDescent="0.25">
      <c r="A20" s="26" t="s">
        <v>28</v>
      </c>
      <c r="B20" s="107" t="s">
        <v>32</v>
      </c>
      <c r="C20" s="100"/>
      <c r="D20" s="35">
        <v>8</v>
      </c>
      <c r="E20" s="35">
        <v>8.1999999999999993</v>
      </c>
      <c r="F20" s="101">
        <f t="shared" si="4"/>
        <v>16.2</v>
      </c>
      <c r="G20" s="124"/>
      <c r="H20" s="100"/>
      <c r="I20" s="91">
        <v>0</v>
      </c>
      <c r="J20" s="91">
        <v>0</v>
      </c>
      <c r="K20" s="101">
        <f t="shared" si="5"/>
        <v>0</v>
      </c>
      <c r="L20" s="320" t="s">
        <v>33</v>
      </c>
      <c r="M20" s="222" t="s">
        <v>34</v>
      </c>
      <c r="N20" s="231"/>
      <c r="O20" s="5"/>
    </row>
    <row r="21" spans="1:16" s="6" customFormat="1" ht="47.25" x14ac:dyDescent="0.25">
      <c r="A21" s="26" t="s">
        <v>35</v>
      </c>
      <c r="B21" s="106" t="s">
        <v>36</v>
      </c>
      <c r="C21" s="100">
        <v>20.3</v>
      </c>
      <c r="D21" s="35">
        <v>21.9</v>
      </c>
      <c r="E21" s="35">
        <v>30.4</v>
      </c>
      <c r="F21" s="101">
        <f t="shared" si="4"/>
        <v>52.3</v>
      </c>
      <c r="G21" s="124"/>
      <c r="H21" s="100">
        <v>20.3</v>
      </c>
      <c r="I21" s="35">
        <v>21.9</v>
      </c>
      <c r="J21" s="35">
        <v>30.4</v>
      </c>
      <c r="K21" s="101">
        <f t="shared" si="5"/>
        <v>52.3</v>
      </c>
      <c r="L21" s="232" t="s">
        <v>285</v>
      </c>
      <c r="M21" s="239" t="s">
        <v>37</v>
      </c>
      <c r="N21" s="231"/>
      <c r="O21" s="5"/>
    </row>
    <row r="22" spans="1:16" s="6" customFormat="1" ht="31.5" x14ac:dyDescent="0.25">
      <c r="A22" s="26" t="s">
        <v>35</v>
      </c>
      <c r="B22" s="106" t="s">
        <v>38</v>
      </c>
      <c r="C22" s="100">
        <v>1.3</v>
      </c>
      <c r="D22" s="35">
        <v>0.59655924999999999</v>
      </c>
      <c r="E22" s="35">
        <v>1.06952625</v>
      </c>
      <c r="F22" s="101">
        <f t="shared" si="4"/>
        <v>1.6660854999999999</v>
      </c>
      <c r="G22" s="124"/>
      <c r="H22" s="100">
        <v>1.3</v>
      </c>
      <c r="I22" s="35">
        <v>0.59655924999999999</v>
      </c>
      <c r="J22" s="35">
        <v>1.06952625</v>
      </c>
      <c r="K22" s="101">
        <f t="shared" si="5"/>
        <v>1.6660854999999999</v>
      </c>
      <c r="L22" s="232" t="s">
        <v>39</v>
      </c>
      <c r="M22" s="240" t="s">
        <v>37</v>
      </c>
      <c r="N22" s="231"/>
      <c r="O22" s="5"/>
    </row>
    <row r="23" spans="1:16" s="6" customFormat="1" ht="33" customHeight="1" x14ac:dyDescent="0.25">
      <c r="A23" s="26" t="s">
        <v>35</v>
      </c>
      <c r="B23" s="106" t="s">
        <v>40</v>
      </c>
      <c r="C23" s="100">
        <v>20.8</v>
      </c>
      <c r="D23" s="35">
        <v>5.954987</v>
      </c>
      <c r="E23" s="35">
        <v>8.7570669999999993</v>
      </c>
      <c r="F23" s="101">
        <f t="shared" si="4"/>
        <v>14.712053999999998</v>
      </c>
      <c r="G23" s="124"/>
      <c r="H23" s="100">
        <v>20.8</v>
      </c>
      <c r="I23" s="35">
        <v>5.954987</v>
      </c>
      <c r="J23" s="35">
        <v>8.7570669999999993</v>
      </c>
      <c r="K23" s="101">
        <f t="shared" si="5"/>
        <v>14.712053999999998</v>
      </c>
      <c r="L23" s="232" t="s">
        <v>41</v>
      </c>
      <c r="M23" s="240" t="s">
        <v>37</v>
      </c>
      <c r="N23" s="231"/>
      <c r="O23" s="5"/>
    </row>
    <row r="24" spans="1:16" s="6" customFormat="1" ht="30" customHeight="1" x14ac:dyDescent="0.25">
      <c r="A24" s="184" t="s">
        <v>35</v>
      </c>
      <c r="B24" s="185" t="s">
        <v>42</v>
      </c>
      <c r="C24" s="100">
        <v>0</v>
      </c>
      <c r="D24" s="35">
        <v>0</v>
      </c>
      <c r="E24" s="35">
        <v>0</v>
      </c>
      <c r="F24" s="101">
        <f t="shared" si="4"/>
        <v>0</v>
      </c>
      <c r="G24" s="124"/>
      <c r="H24" s="100">
        <v>0</v>
      </c>
      <c r="I24" s="91">
        <v>2.4</v>
      </c>
      <c r="J24" s="91">
        <f>(2.4*1.03)</f>
        <v>2.472</v>
      </c>
      <c r="K24" s="101">
        <f t="shared" si="5"/>
        <v>4.8719999999999999</v>
      </c>
      <c r="L24" s="221"/>
      <c r="M24" s="336" t="s">
        <v>43</v>
      </c>
      <c r="N24" s="231" t="s">
        <v>44</v>
      </c>
      <c r="O24" s="5"/>
    </row>
    <row r="25" spans="1:16" s="6" customFormat="1" ht="51" customHeight="1" x14ac:dyDescent="0.25">
      <c r="A25" s="26" t="s">
        <v>35</v>
      </c>
      <c r="B25" s="107" t="s">
        <v>45</v>
      </c>
      <c r="C25" s="100"/>
      <c r="D25" s="35">
        <v>1.9859579999999999</v>
      </c>
      <c r="E25" s="35">
        <v>0.99297899999999995</v>
      </c>
      <c r="F25" s="101">
        <f t="shared" si="4"/>
        <v>2.9789369999999997</v>
      </c>
      <c r="G25" s="124"/>
      <c r="H25" s="100"/>
      <c r="I25" s="35">
        <v>1.9859579999999999</v>
      </c>
      <c r="J25" s="35">
        <v>0.99297899999999995</v>
      </c>
      <c r="K25" s="101">
        <f t="shared" si="5"/>
        <v>2.9789369999999997</v>
      </c>
      <c r="L25" s="232" t="s">
        <v>46</v>
      </c>
      <c r="M25" s="223" t="s">
        <v>37</v>
      </c>
      <c r="N25" s="231" t="s">
        <v>47</v>
      </c>
      <c r="O25" s="5"/>
    </row>
    <row r="26" spans="1:16" s="6" customFormat="1" ht="31.5" x14ac:dyDescent="0.25">
      <c r="A26" s="26" t="s">
        <v>48</v>
      </c>
      <c r="B26" s="106" t="s">
        <v>49</v>
      </c>
      <c r="C26" s="100">
        <v>16.600000000000001</v>
      </c>
      <c r="D26" s="35">
        <v>7.1710539999999998</v>
      </c>
      <c r="E26" s="35">
        <v>13.191852000000001</v>
      </c>
      <c r="F26" s="101">
        <f t="shared" si="4"/>
        <v>20.362906000000002</v>
      </c>
      <c r="G26" s="124"/>
      <c r="H26" s="100">
        <v>16.600000000000001</v>
      </c>
      <c r="I26" s="35">
        <v>7.1710539999999998</v>
      </c>
      <c r="J26" s="35">
        <v>13.191852000000001</v>
      </c>
      <c r="K26" s="101">
        <f t="shared" si="5"/>
        <v>20.362906000000002</v>
      </c>
      <c r="L26" s="232" t="s">
        <v>50</v>
      </c>
      <c r="M26" s="240" t="s">
        <v>37</v>
      </c>
      <c r="N26" s="241"/>
      <c r="O26" s="5"/>
    </row>
    <row r="27" spans="1:16" s="6" customFormat="1" ht="31.5" x14ac:dyDescent="0.25">
      <c r="A27" s="26" t="s">
        <v>48</v>
      </c>
      <c r="B27" s="106" t="s">
        <v>51</v>
      </c>
      <c r="C27" s="100">
        <v>2.5</v>
      </c>
      <c r="D27" s="35">
        <v>0</v>
      </c>
      <c r="E27" s="35">
        <v>0</v>
      </c>
      <c r="F27" s="101">
        <f t="shared" si="4"/>
        <v>0</v>
      </c>
      <c r="G27" s="124"/>
      <c r="H27" s="100">
        <v>2.5</v>
      </c>
      <c r="I27" s="35">
        <v>0</v>
      </c>
      <c r="J27" s="35">
        <v>0</v>
      </c>
      <c r="K27" s="101">
        <f t="shared" si="5"/>
        <v>0</v>
      </c>
      <c r="L27" s="232" t="s">
        <v>52</v>
      </c>
      <c r="M27" s="240" t="s">
        <v>37</v>
      </c>
      <c r="N27" s="241"/>
      <c r="O27" s="5"/>
    </row>
    <row r="28" spans="1:16" s="6" customFormat="1" ht="31.5" x14ac:dyDescent="0.25">
      <c r="A28" s="26" t="s">
        <v>53</v>
      </c>
      <c r="B28" s="106" t="s">
        <v>54</v>
      </c>
      <c r="C28" s="100">
        <v>34.1</v>
      </c>
      <c r="D28" s="35">
        <v>32.6</v>
      </c>
      <c r="E28" s="35">
        <v>0</v>
      </c>
      <c r="F28" s="101">
        <f t="shared" si="4"/>
        <v>32.6</v>
      </c>
      <c r="G28" s="124"/>
      <c r="H28" s="100">
        <v>34.1</v>
      </c>
      <c r="I28" s="35">
        <v>32.6</v>
      </c>
      <c r="J28" s="35">
        <v>0</v>
      </c>
      <c r="K28" s="101">
        <f t="shared" si="5"/>
        <v>32.6</v>
      </c>
      <c r="L28" s="232" t="s">
        <v>55</v>
      </c>
      <c r="M28" s="240" t="s">
        <v>37</v>
      </c>
      <c r="N28" s="241"/>
      <c r="O28" s="5"/>
    </row>
    <row r="29" spans="1:16" s="6" customFormat="1" ht="31.5" x14ac:dyDescent="0.25">
      <c r="A29" s="26" t="s">
        <v>53</v>
      </c>
      <c r="B29" s="107" t="s">
        <v>54</v>
      </c>
      <c r="C29" s="100">
        <v>74.599999999999994</v>
      </c>
      <c r="D29" s="35">
        <v>4</v>
      </c>
      <c r="E29" s="35">
        <v>0</v>
      </c>
      <c r="F29" s="101">
        <f t="shared" si="4"/>
        <v>4</v>
      </c>
      <c r="G29" s="124"/>
      <c r="H29" s="100">
        <v>74.599999999999994</v>
      </c>
      <c r="I29" s="35">
        <v>4</v>
      </c>
      <c r="J29" s="35">
        <v>0</v>
      </c>
      <c r="K29" s="101">
        <f t="shared" si="5"/>
        <v>4</v>
      </c>
      <c r="L29" s="232" t="s">
        <v>56</v>
      </c>
      <c r="M29" s="240" t="s">
        <v>37</v>
      </c>
      <c r="N29" s="241"/>
      <c r="O29" s="5"/>
    </row>
    <row r="30" spans="1:16" s="6" customFormat="1" ht="15.75" x14ac:dyDescent="0.25">
      <c r="A30" s="26" t="s">
        <v>57</v>
      </c>
      <c r="B30" s="106" t="s">
        <v>29</v>
      </c>
      <c r="C30" s="100">
        <v>0.4</v>
      </c>
      <c r="D30" s="35">
        <v>0</v>
      </c>
      <c r="E30" s="35">
        <v>0</v>
      </c>
      <c r="F30" s="101">
        <f t="shared" si="4"/>
        <v>0</v>
      </c>
      <c r="G30" s="124"/>
      <c r="H30" s="100">
        <v>0.4</v>
      </c>
      <c r="I30" s="35">
        <v>0</v>
      </c>
      <c r="J30" s="35">
        <v>0</v>
      </c>
      <c r="K30" s="101">
        <f t="shared" si="5"/>
        <v>0</v>
      </c>
      <c r="L30" s="285" t="s">
        <v>58</v>
      </c>
      <c r="M30" s="286"/>
      <c r="N30" s="287"/>
      <c r="O30" s="5"/>
    </row>
    <row r="31" spans="1:16" s="6" customFormat="1" ht="15.75" x14ac:dyDescent="0.25">
      <c r="A31" s="26" t="s">
        <v>57</v>
      </c>
      <c r="B31" s="106" t="s">
        <v>59</v>
      </c>
      <c r="C31" s="100">
        <v>2.6</v>
      </c>
      <c r="D31" s="35">
        <v>0</v>
      </c>
      <c r="E31" s="35">
        <v>0</v>
      </c>
      <c r="F31" s="101">
        <f t="shared" si="4"/>
        <v>0</v>
      </c>
      <c r="G31" s="124"/>
      <c r="H31" s="100">
        <v>2.6</v>
      </c>
      <c r="I31" s="35">
        <v>0</v>
      </c>
      <c r="J31" s="35">
        <v>0</v>
      </c>
      <c r="K31" s="101">
        <f t="shared" si="5"/>
        <v>0</v>
      </c>
      <c r="L31" s="285" t="s">
        <v>58</v>
      </c>
      <c r="M31" s="286"/>
      <c r="N31" s="288"/>
      <c r="O31" s="5"/>
    </row>
    <row r="32" spans="1:16" s="6" customFormat="1" ht="31.5" x14ac:dyDescent="0.25">
      <c r="A32" s="26" t="s">
        <v>57</v>
      </c>
      <c r="B32" s="106" t="s">
        <v>60</v>
      </c>
      <c r="C32" s="100">
        <v>4.7</v>
      </c>
      <c r="D32" s="35">
        <v>4.1250000000000009</v>
      </c>
      <c r="E32" s="35">
        <v>4.4249999999999998</v>
      </c>
      <c r="F32" s="101">
        <f t="shared" si="4"/>
        <v>8.5500000000000007</v>
      </c>
      <c r="G32" s="124"/>
      <c r="H32" s="100">
        <v>4.7</v>
      </c>
      <c r="I32" s="35">
        <v>4.1250000000000009</v>
      </c>
      <c r="J32" s="35">
        <v>4.4249999999999998</v>
      </c>
      <c r="K32" s="101">
        <f t="shared" si="5"/>
        <v>8.5500000000000007</v>
      </c>
      <c r="L32" s="225" t="s">
        <v>61</v>
      </c>
      <c r="M32" s="242" t="s">
        <v>37</v>
      </c>
      <c r="N32" s="243"/>
      <c r="O32" s="5"/>
    </row>
    <row r="33" spans="1:14" ht="22.5" customHeight="1" x14ac:dyDescent="0.25">
      <c r="A33" s="24"/>
      <c r="B33" s="116" t="s">
        <v>62</v>
      </c>
      <c r="C33" s="112">
        <v>186.7</v>
      </c>
      <c r="D33" s="40">
        <v>85.5</v>
      </c>
      <c r="E33" s="40">
        <v>89.7</v>
      </c>
      <c r="F33" s="144">
        <f>E33+D33</f>
        <v>175.2</v>
      </c>
      <c r="G33" s="80"/>
      <c r="H33" s="112">
        <v>186.7</v>
      </c>
      <c r="I33" s="88">
        <v>85.222499999999997</v>
      </c>
      <c r="J33" s="88">
        <v>89.375</v>
      </c>
      <c r="K33" s="144">
        <f t="shared" si="5"/>
        <v>174.5975</v>
      </c>
      <c r="L33" s="92" t="s">
        <v>63</v>
      </c>
      <c r="M33" s="24"/>
    </row>
    <row r="34" spans="1:14" ht="15.75" x14ac:dyDescent="0.25">
      <c r="A34" s="24"/>
      <c r="B34" s="108" t="s">
        <v>64</v>
      </c>
      <c r="C34" s="102">
        <v>-11.3</v>
      </c>
      <c r="D34" s="37"/>
      <c r="E34" s="37"/>
      <c r="F34" s="38"/>
      <c r="G34" s="80"/>
      <c r="H34" s="102">
        <v>-11.3</v>
      </c>
      <c r="I34" s="37"/>
      <c r="J34" s="37"/>
      <c r="K34" s="38"/>
      <c r="L34" s="24"/>
      <c r="M34" s="24"/>
    </row>
    <row r="35" spans="1:14" ht="15.75" x14ac:dyDescent="0.25">
      <c r="A35" s="13"/>
      <c r="B35" s="108" t="s">
        <v>65</v>
      </c>
      <c r="C35" s="102">
        <f>SUM(C19:C32)</f>
        <v>186.49999999999997</v>
      </c>
      <c r="D35" s="36">
        <f>SUM(D19:D32)</f>
        <v>96.171376249999994</v>
      </c>
      <c r="E35" s="36">
        <f>SUM(E19:E32)</f>
        <v>89.000130249999998</v>
      </c>
      <c r="F35" s="38"/>
      <c r="G35" s="80"/>
      <c r="H35" s="102">
        <f>SUM(H19:H32)</f>
        <v>186.49999999999997</v>
      </c>
      <c r="I35" s="36">
        <f>SUM(I19:I32)</f>
        <v>90.771376250000003</v>
      </c>
      <c r="J35" s="36">
        <f>SUM(J19:J32)</f>
        <v>83.472130249999992</v>
      </c>
      <c r="K35" s="38">
        <f>J35+I35</f>
        <v>174.2435065</v>
      </c>
      <c r="L35" s="24"/>
      <c r="M35" s="24"/>
    </row>
    <row r="36" spans="1:14" ht="31.5" x14ac:dyDescent="0.25">
      <c r="A36" s="13"/>
      <c r="B36" s="108" t="s">
        <v>66</v>
      </c>
      <c r="C36" s="102">
        <v>-146.6</v>
      </c>
      <c r="D36" s="36"/>
      <c r="E36" s="36"/>
      <c r="F36" s="38"/>
      <c r="G36" s="80"/>
      <c r="H36" s="102">
        <v>-146.6</v>
      </c>
      <c r="I36" s="36"/>
      <c r="J36" s="36"/>
      <c r="K36" s="38"/>
      <c r="L36" s="24" t="s">
        <v>67</v>
      </c>
      <c r="M36" s="24"/>
    </row>
    <row r="37" spans="1:14" ht="15.75" x14ac:dyDescent="0.25">
      <c r="A37" s="13"/>
      <c r="B37" s="108" t="s">
        <v>68</v>
      </c>
      <c r="C37" s="102"/>
      <c r="D37" s="36">
        <v>9</v>
      </c>
      <c r="E37" s="36"/>
      <c r="F37" s="38"/>
      <c r="G37" s="80"/>
      <c r="H37" s="102">
        <v>0</v>
      </c>
      <c r="I37" s="36">
        <v>9</v>
      </c>
      <c r="J37" s="36"/>
      <c r="K37" s="38"/>
      <c r="L37" s="24" t="s">
        <v>69</v>
      </c>
      <c r="M37" s="24"/>
    </row>
    <row r="38" spans="1:14" ht="15.75" x14ac:dyDescent="0.25">
      <c r="A38" s="13"/>
      <c r="B38" s="108" t="s">
        <v>70</v>
      </c>
      <c r="C38" s="200">
        <f>C33+C34+C36</f>
        <v>28.799999999999983</v>
      </c>
      <c r="D38" s="36">
        <f>D33-D35-D37</f>
        <v>-19.671376249999994</v>
      </c>
      <c r="E38" s="36">
        <f>E33-E35-E37</f>
        <v>0.69986975000000484</v>
      </c>
      <c r="F38" s="38"/>
      <c r="G38" s="80"/>
      <c r="H38" s="200">
        <f>H33+H34+H36</f>
        <v>28.799999999999983</v>
      </c>
      <c r="I38" s="36">
        <f>I33-I35-I37</f>
        <v>-14.548876250000006</v>
      </c>
      <c r="J38" s="36">
        <f>J33-J35</f>
        <v>5.9028697500000078</v>
      </c>
      <c r="K38" s="38"/>
      <c r="L38" s="205"/>
      <c r="M38" s="24"/>
    </row>
    <row r="39" spans="1:14" ht="30" customHeight="1" x14ac:dyDescent="0.25">
      <c r="A39" s="13"/>
      <c r="B39" s="328" t="s">
        <v>71</v>
      </c>
      <c r="C39" s="321"/>
      <c r="D39" s="196">
        <f>D38+C38</f>
        <v>9.1286237499999885</v>
      </c>
      <c r="E39" s="196">
        <v>0</v>
      </c>
      <c r="F39" s="197"/>
      <c r="G39" s="80"/>
      <c r="H39" s="321"/>
      <c r="I39" s="196">
        <f>I38+H38</f>
        <v>14.251123749999977</v>
      </c>
      <c r="J39" s="196"/>
      <c r="K39" s="197"/>
      <c r="L39" s="205" t="s">
        <v>72</v>
      </c>
      <c r="M39" s="24"/>
    </row>
    <row r="40" spans="1:14" ht="32.25" customHeight="1" thickBot="1" x14ac:dyDescent="0.3">
      <c r="A40" s="13"/>
      <c r="B40" s="146" t="s">
        <v>73</v>
      </c>
      <c r="C40" s="201">
        <v>0</v>
      </c>
      <c r="D40" s="43">
        <v>0</v>
      </c>
      <c r="E40" s="43">
        <v>0</v>
      </c>
      <c r="F40" s="44"/>
      <c r="G40" s="327"/>
      <c r="H40" s="201">
        <v>0</v>
      </c>
      <c r="I40" s="43">
        <v>0</v>
      </c>
      <c r="J40" s="43">
        <v>0</v>
      </c>
      <c r="K40" s="44"/>
      <c r="M40" s="13"/>
    </row>
    <row r="41" spans="1:14" s="7" customFormat="1" ht="15.75" thickBot="1" x14ac:dyDescent="0.3">
      <c r="C41" s="39"/>
      <c r="D41" s="39"/>
      <c r="E41" s="39"/>
      <c r="F41" s="39"/>
      <c r="G41" s="158"/>
      <c r="H41" s="39"/>
      <c r="I41" s="39"/>
      <c r="J41" s="39"/>
      <c r="K41" s="39"/>
    </row>
    <row r="42" spans="1:14" s="7" customFormat="1" ht="19.5" thickBot="1" x14ac:dyDescent="0.35">
      <c r="A42" s="82" t="s">
        <v>74</v>
      </c>
      <c r="B42" s="82"/>
      <c r="C42" s="666" t="s">
        <v>1</v>
      </c>
      <c r="D42" s="667"/>
      <c r="E42" s="667"/>
      <c r="F42" s="668"/>
      <c r="G42" s="79"/>
      <c r="H42" s="666" t="s">
        <v>2</v>
      </c>
      <c r="I42" s="667"/>
      <c r="J42" s="667"/>
      <c r="K42" s="668"/>
      <c r="L42" s="4"/>
      <c r="M42" s="4"/>
      <c r="N42" s="4"/>
    </row>
    <row r="43" spans="1:14" s="6" customFormat="1" ht="48" thickBot="1" x14ac:dyDescent="0.3">
      <c r="A43" s="103" t="s">
        <v>3</v>
      </c>
      <c r="B43" s="105" t="s">
        <v>4</v>
      </c>
      <c r="C43" s="110" t="s">
        <v>5</v>
      </c>
      <c r="D43" s="104" t="s">
        <v>6</v>
      </c>
      <c r="E43" s="104" t="s">
        <v>7</v>
      </c>
      <c r="F43" s="98" t="s">
        <v>8</v>
      </c>
      <c r="G43" s="83"/>
      <c r="H43" s="110" t="s">
        <v>5</v>
      </c>
      <c r="I43" s="104" t="s">
        <v>6</v>
      </c>
      <c r="J43" s="104" t="s">
        <v>7</v>
      </c>
      <c r="K43" s="98" t="s">
        <v>8</v>
      </c>
      <c r="L43" s="153" t="s">
        <v>9</v>
      </c>
      <c r="M43" s="213" t="s">
        <v>27</v>
      </c>
      <c r="N43" s="213" t="s">
        <v>11</v>
      </c>
    </row>
    <row r="44" spans="1:14" s="6" customFormat="1" ht="15.75" x14ac:dyDescent="0.25">
      <c r="A44" s="26" t="s">
        <v>53</v>
      </c>
      <c r="B44" s="106" t="s">
        <v>75</v>
      </c>
      <c r="C44" s="100">
        <v>89.1</v>
      </c>
      <c r="D44" s="35">
        <v>0</v>
      </c>
      <c r="E44" s="35">
        <v>0</v>
      </c>
      <c r="F44" s="101">
        <f t="shared" ref="F44:F53" si="6">D44+E44</f>
        <v>0</v>
      </c>
      <c r="G44" s="124"/>
      <c r="H44" s="100">
        <v>89.1</v>
      </c>
      <c r="I44" s="35">
        <v>0</v>
      </c>
      <c r="J44" s="35">
        <v>0</v>
      </c>
      <c r="K44" s="101">
        <f t="shared" ref="K44:K53" si="7">J44+I44</f>
        <v>0</v>
      </c>
      <c r="L44" s="228" t="s">
        <v>76</v>
      </c>
      <c r="M44" s="229" t="s">
        <v>37</v>
      </c>
      <c r="N44" s="230" t="s">
        <v>77</v>
      </c>
    </row>
    <row r="45" spans="1:14" s="6" customFormat="1" ht="47.25" x14ac:dyDescent="0.25">
      <c r="A45" s="26" t="s">
        <v>28</v>
      </c>
      <c r="B45" s="107" t="s">
        <v>32</v>
      </c>
      <c r="C45" s="100"/>
      <c r="D45" s="35">
        <v>0.98499999999999999</v>
      </c>
      <c r="E45" s="35">
        <v>1.0145500000000001</v>
      </c>
      <c r="F45" s="101">
        <f t="shared" si="6"/>
        <v>1.9995500000000002</v>
      </c>
      <c r="G45" s="124"/>
      <c r="H45" s="100"/>
      <c r="I45" s="91">
        <v>0</v>
      </c>
      <c r="J45" s="91">
        <v>0</v>
      </c>
      <c r="K45" s="101">
        <f t="shared" si="7"/>
        <v>0</v>
      </c>
      <c r="L45" s="221" t="s">
        <v>78</v>
      </c>
      <c r="M45" s="222" t="s">
        <v>34</v>
      </c>
      <c r="N45" s="231"/>
    </row>
    <row r="46" spans="1:14" s="6" customFormat="1" ht="78.75" x14ac:dyDescent="0.25">
      <c r="A46" s="26" t="s">
        <v>28</v>
      </c>
      <c r="B46" s="106" t="s">
        <v>79</v>
      </c>
      <c r="C46" s="100">
        <v>4.5</v>
      </c>
      <c r="D46" s="35">
        <v>5.3784000000000001</v>
      </c>
      <c r="E46" s="35">
        <v>7.4397520000000004</v>
      </c>
      <c r="F46" s="101">
        <f t="shared" si="6"/>
        <v>12.818152000000001</v>
      </c>
      <c r="G46" s="124"/>
      <c r="H46" s="100">
        <v>4.5</v>
      </c>
      <c r="I46" s="35">
        <v>5.3784000000000001</v>
      </c>
      <c r="J46" s="35">
        <v>7.4397520000000004</v>
      </c>
      <c r="K46" s="101">
        <f t="shared" si="7"/>
        <v>12.818152000000001</v>
      </c>
      <c r="L46" s="232" t="s">
        <v>80</v>
      </c>
      <c r="M46" s="233" t="s">
        <v>37</v>
      </c>
      <c r="N46" s="231"/>
    </row>
    <row r="47" spans="1:14" s="6" customFormat="1" ht="47.25" x14ac:dyDescent="0.25">
      <c r="A47" s="26" t="s">
        <v>35</v>
      </c>
      <c r="B47" s="106" t="s">
        <v>81</v>
      </c>
      <c r="C47" s="100">
        <v>0.5</v>
      </c>
      <c r="D47" s="35">
        <v>0.52474500000000002</v>
      </c>
      <c r="E47" s="35">
        <v>0.52474500000000002</v>
      </c>
      <c r="F47" s="101">
        <f t="shared" si="6"/>
        <v>1.04949</v>
      </c>
      <c r="G47" s="124"/>
      <c r="H47" s="100">
        <v>0.5</v>
      </c>
      <c r="I47" s="35">
        <v>0.52474500000000002</v>
      </c>
      <c r="J47" s="35">
        <v>0.52474500000000002</v>
      </c>
      <c r="K47" s="101">
        <f t="shared" si="7"/>
        <v>1.04949</v>
      </c>
      <c r="L47" s="232" t="s">
        <v>82</v>
      </c>
      <c r="M47" s="233"/>
      <c r="N47" s="231"/>
    </row>
    <row r="48" spans="1:14" s="6" customFormat="1" ht="31.5" x14ac:dyDescent="0.25">
      <c r="A48" s="26" t="s">
        <v>35</v>
      </c>
      <c r="B48" s="106" t="s">
        <v>83</v>
      </c>
      <c r="C48" s="100">
        <v>3.2</v>
      </c>
      <c r="D48" s="35">
        <v>1.4593287099999999</v>
      </c>
      <c r="E48" s="35">
        <v>2.2764261800000001</v>
      </c>
      <c r="F48" s="101">
        <f t="shared" si="6"/>
        <v>3.7357548899999999</v>
      </c>
      <c r="G48" s="124"/>
      <c r="H48" s="100">
        <v>3.2</v>
      </c>
      <c r="I48" s="35">
        <v>1.4593287099999999</v>
      </c>
      <c r="J48" s="35">
        <v>2.2764261800000001</v>
      </c>
      <c r="K48" s="101">
        <f t="shared" si="7"/>
        <v>3.7357548899999999</v>
      </c>
      <c r="L48" s="232" t="s">
        <v>84</v>
      </c>
      <c r="M48" s="335" t="s">
        <v>85</v>
      </c>
      <c r="N48" s="231"/>
    </row>
    <row r="49" spans="1:19" s="6" customFormat="1" ht="15.75" x14ac:dyDescent="0.25">
      <c r="A49" s="26" t="s">
        <v>48</v>
      </c>
      <c r="B49" s="106" t="s">
        <v>86</v>
      </c>
      <c r="C49" s="100">
        <v>5.6</v>
      </c>
      <c r="D49" s="35">
        <v>6.2283324999999996</v>
      </c>
      <c r="E49" s="35">
        <v>5.2744916500000008</v>
      </c>
      <c r="F49" s="101">
        <f t="shared" si="6"/>
        <v>11.50282415</v>
      </c>
      <c r="G49" s="124"/>
      <c r="H49" s="100">
        <v>5.6</v>
      </c>
      <c r="I49" s="35">
        <v>6.2283324999999996</v>
      </c>
      <c r="J49" s="35">
        <v>5.2744916500000008</v>
      </c>
      <c r="K49" s="101">
        <f t="shared" si="7"/>
        <v>11.50282415</v>
      </c>
      <c r="L49" s="232" t="s">
        <v>87</v>
      </c>
      <c r="M49" s="233" t="s">
        <v>37</v>
      </c>
      <c r="N49" s="231"/>
    </row>
    <row r="50" spans="1:19" s="6" customFormat="1" ht="15.75" x14ac:dyDescent="0.25">
      <c r="A50" s="26" t="s">
        <v>57</v>
      </c>
      <c r="B50" s="106" t="s">
        <v>59</v>
      </c>
      <c r="C50" s="100">
        <v>0.03</v>
      </c>
      <c r="D50" s="35">
        <v>0</v>
      </c>
      <c r="E50" s="35">
        <v>0</v>
      </c>
      <c r="F50" s="101">
        <f t="shared" si="6"/>
        <v>0</v>
      </c>
      <c r="G50" s="124"/>
      <c r="H50" s="100">
        <v>0.03</v>
      </c>
      <c r="I50" s="35">
        <v>0</v>
      </c>
      <c r="J50" s="35">
        <v>0</v>
      </c>
      <c r="K50" s="101">
        <f t="shared" si="7"/>
        <v>0</v>
      </c>
      <c r="L50" s="232" t="s">
        <v>88</v>
      </c>
      <c r="M50" s="233"/>
      <c r="N50" s="231"/>
    </row>
    <row r="51" spans="1:19" s="6" customFormat="1" ht="31.5" x14ac:dyDescent="0.25">
      <c r="A51" s="26" t="s">
        <v>57</v>
      </c>
      <c r="B51" s="107" t="s">
        <v>60</v>
      </c>
      <c r="C51" s="100"/>
      <c r="D51" s="35">
        <v>1.5</v>
      </c>
      <c r="E51" s="35">
        <v>1.5449999999999999</v>
      </c>
      <c r="F51" s="101">
        <f t="shared" si="6"/>
        <v>3.0449999999999999</v>
      </c>
      <c r="G51" s="124"/>
      <c r="H51" s="100"/>
      <c r="I51" s="35">
        <v>1.5</v>
      </c>
      <c r="J51" s="35">
        <v>1.5449999999999999</v>
      </c>
      <c r="K51" s="101">
        <f t="shared" si="7"/>
        <v>3.0449999999999999</v>
      </c>
      <c r="L51" s="232" t="s">
        <v>89</v>
      </c>
      <c r="M51" s="233" t="s">
        <v>37</v>
      </c>
      <c r="N51" s="231"/>
    </row>
    <row r="52" spans="1:19" s="6" customFormat="1" ht="15.75" x14ac:dyDescent="0.25">
      <c r="A52" s="26" t="s">
        <v>57</v>
      </c>
      <c r="B52" s="106" t="s">
        <v>90</v>
      </c>
      <c r="C52" s="100"/>
      <c r="D52" s="35">
        <v>1</v>
      </c>
      <c r="E52" s="35">
        <v>0</v>
      </c>
      <c r="F52" s="101">
        <f t="shared" si="6"/>
        <v>1</v>
      </c>
      <c r="G52" s="124"/>
      <c r="H52" s="100"/>
      <c r="I52" s="35">
        <v>1</v>
      </c>
      <c r="J52" s="35">
        <v>0</v>
      </c>
      <c r="K52" s="101">
        <f t="shared" si="7"/>
        <v>1</v>
      </c>
      <c r="L52" s="234"/>
      <c r="M52" s="235"/>
      <c r="N52" s="236"/>
    </row>
    <row r="53" spans="1:19" ht="31.5" x14ac:dyDescent="0.25">
      <c r="A53" s="12"/>
      <c r="B53" s="25" t="s">
        <v>91</v>
      </c>
      <c r="C53" s="112">
        <v>102.4</v>
      </c>
      <c r="D53" s="40">
        <v>31.1</v>
      </c>
      <c r="E53" s="40">
        <v>32.6</v>
      </c>
      <c r="F53" s="41">
        <f t="shared" si="6"/>
        <v>63.7</v>
      </c>
      <c r="G53" s="80"/>
      <c r="H53" s="112">
        <v>102.4</v>
      </c>
      <c r="I53" s="88">
        <f>0.2*(0.5*I15)</f>
        <v>30.99</v>
      </c>
      <c r="J53" s="88">
        <f>0.2*(0.5*J15)</f>
        <v>32.5</v>
      </c>
      <c r="K53" s="41">
        <f t="shared" si="7"/>
        <v>63.489999999999995</v>
      </c>
      <c r="L53" s="92" t="s">
        <v>63</v>
      </c>
      <c r="M53" s="12"/>
    </row>
    <row r="54" spans="1:19" ht="15.75" x14ac:dyDescent="0.25">
      <c r="A54" s="12"/>
      <c r="B54" s="108" t="s">
        <v>92</v>
      </c>
      <c r="C54" s="102">
        <v>-4.0999999999999996</v>
      </c>
      <c r="D54" s="37"/>
      <c r="E54" s="37"/>
      <c r="F54" s="42"/>
      <c r="G54" s="80"/>
      <c r="H54" s="102">
        <v>-4.0999999999999996</v>
      </c>
      <c r="I54" s="37"/>
      <c r="J54" s="37"/>
      <c r="K54" s="42"/>
      <c r="L54" s="12"/>
      <c r="M54" s="12"/>
    </row>
    <row r="55" spans="1:19" ht="17.25" customHeight="1" x14ac:dyDescent="0.25">
      <c r="A55" s="12"/>
      <c r="B55" s="108" t="s">
        <v>93</v>
      </c>
      <c r="C55" s="102">
        <f>SUM(C44:C52)</f>
        <v>102.92999999999999</v>
      </c>
      <c r="D55" s="36">
        <f>SUM(D44:D52)</f>
        <v>17.07580621</v>
      </c>
      <c r="E55" s="36">
        <f>SUM(E44:E52)</f>
        <v>18.074964829999999</v>
      </c>
      <c r="F55" s="38"/>
      <c r="G55" s="80"/>
      <c r="H55" s="102">
        <v>102.9</v>
      </c>
      <c r="I55" s="36">
        <f>SUM(I44:I52)</f>
        <v>16.09080621</v>
      </c>
      <c r="J55" s="36">
        <f>SUM(J44:J52)</f>
        <v>17.060414829999999</v>
      </c>
      <c r="K55" s="38"/>
      <c r="L55" s="12"/>
      <c r="M55" s="12"/>
    </row>
    <row r="56" spans="1:19" ht="31.5" x14ac:dyDescent="0.25">
      <c r="A56" s="12"/>
      <c r="B56" s="108" t="s">
        <v>94</v>
      </c>
      <c r="C56" s="102">
        <v>-37.799999999999997</v>
      </c>
      <c r="D56" s="36"/>
      <c r="E56" s="36"/>
      <c r="F56" s="38"/>
      <c r="G56" s="80"/>
      <c r="H56" s="102">
        <v>-37.799999999999997</v>
      </c>
      <c r="I56" s="36"/>
      <c r="J56" s="36"/>
      <c r="K56" s="38"/>
      <c r="L56" s="12"/>
      <c r="M56" s="12"/>
    </row>
    <row r="57" spans="1:19" ht="15.75" x14ac:dyDescent="0.25">
      <c r="A57" s="12"/>
      <c r="B57" s="108" t="s">
        <v>95</v>
      </c>
      <c r="C57" s="102"/>
      <c r="D57" s="36">
        <v>3.1</v>
      </c>
      <c r="E57" s="36"/>
      <c r="F57" s="38"/>
      <c r="G57" s="80"/>
      <c r="H57" s="102"/>
      <c r="I57" s="36">
        <v>3.1</v>
      </c>
      <c r="J57" s="36"/>
      <c r="K57" s="38"/>
      <c r="L57" s="12" t="s">
        <v>96</v>
      </c>
      <c r="M57" s="12"/>
    </row>
    <row r="58" spans="1:19" ht="15.75" x14ac:dyDescent="0.25">
      <c r="A58" s="12"/>
      <c r="B58" s="194" t="s">
        <v>97</v>
      </c>
      <c r="C58" s="102">
        <f>(C53+C54+C56)-C59</f>
        <v>2.1000000000000156</v>
      </c>
      <c r="D58" s="36">
        <f>D53-D55-D57</f>
        <v>10.924193790000002</v>
      </c>
      <c r="E58" s="36">
        <f>E53-E55</f>
        <v>14.525035170000002</v>
      </c>
      <c r="F58" s="38"/>
      <c r="G58" s="80"/>
      <c r="H58" s="102">
        <f>(H53+H54+H56)-H59</f>
        <v>2.1000000000000156</v>
      </c>
      <c r="I58" s="36">
        <f>I53-I55-I57</f>
        <v>11.799193789999999</v>
      </c>
      <c r="J58" s="36">
        <f>J53-J55</f>
        <v>15.439585170000001</v>
      </c>
      <c r="K58" s="38"/>
      <c r="L58" s="206"/>
      <c r="M58" s="12"/>
    </row>
    <row r="59" spans="1:19" ht="32.25" customHeight="1" thickBot="1" x14ac:dyDescent="0.3">
      <c r="A59" s="12"/>
      <c r="B59" s="109" t="s">
        <v>98</v>
      </c>
      <c r="C59" s="113">
        <v>58.4</v>
      </c>
      <c r="D59" s="43"/>
      <c r="E59" s="43"/>
      <c r="F59" s="44"/>
      <c r="G59" s="80"/>
      <c r="H59" s="113">
        <v>58.4</v>
      </c>
      <c r="I59" s="43"/>
      <c r="J59" s="43"/>
      <c r="K59" s="44"/>
      <c r="L59" s="12"/>
      <c r="M59" s="12"/>
    </row>
    <row r="60" spans="1:19" s="7" customFormat="1" x14ac:dyDescent="0.25">
      <c r="A60" s="8"/>
      <c r="B60" s="9"/>
      <c r="C60" s="198"/>
      <c r="D60" s="45"/>
      <c r="E60" s="45"/>
      <c r="F60" s="45"/>
      <c r="G60" s="45"/>
      <c r="H60" s="199"/>
      <c r="I60" s="45"/>
      <c r="J60" s="45"/>
      <c r="K60" s="45"/>
      <c r="L60" s="2"/>
      <c r="M60" s="8"/>
    </row>
    <row r="61" spans="1:19" s="7" customFormat="1" ht="15.75" thickBot="1" x14ac:dyDescent="0.3">
      <c r="A61" s="8"/>
      <c r="B61" s="9"/>
      <c r="C61" s="45"/>
      <c r="D61" s="45"/>
      <c r="E61" s="45"/>
      <c r="F61" s="45"/>
      <c r="G61" s="45"/>
      <c r="H61" s="45"/>
      <c r="I61" s="45"/>
      <c r="J61" s="45"/>
      <c r="K61" s="45"/>
      <c r="L61" s="2"/>
      <c r="M61" s="8"/>
    </row>
    <row r="62" spans="1:19" s="7" customFormat="1" ht="19.5" thickBot="1" x14ac:dyDescent="0.35">
      <c r="A62" s="89" t="s">
        <v>99</v>
      </c>
      <c r="B62" s="89"/>
      <c r="C62" s="666" t="s">
        <v>1</v>
      </c>
      <c r="D62" s="667"/>
      <c r="E62" s="667"/>
      <c r="F62" s="668"/>
      <c r="G62" s="79"/>
      <c r="H62" s="666" t="s">
        <v>2</v>
      </c>
      <c r="I62" s="667"/>
      <c r="J62" s="667"/>
      <c r="K62" s="668"/>
      <c r="L62" s="4"/>
      <c r="M62" s="4"/>
      <c r="N62" s="4"/>
      <c r="O62" s="13"/>
      <c r="P62" s="13"/>
      <c r="Q62" s="13"/>
      <c r="R62" s="13"/>
      <c r="S62" s="13"/>
    </row>
    <row r="63" spans="1:19" s="6" customFormat="1" ht="48" thickBot="1" x14ac:dyDescent="0.3">
      <c r="A63" s="10" t="s">
        <v>3</v>
      </c>
      <c r="B63" s="105" t="s">
        <v>4</v>
      </c>
      <c r="C63" s="110" t="s">
        <v>5</v>
      </c>
      <c r="D63" s="104" t="s">
        <v>6</v>
      </c>
      <c r="E63" s="104" t="s">
        <v>7</v>
      </c>
      <c r="F63" s="98" t="s">
        <v>8</v>
      </c>
      <c r="G63" s="83"/>
      <c r="H63" s="110" t="s">
        <v>5</v>
      </c>
      <c r="I63" s="104" t="s">
        <v>6</v>
      </c>
      <c r="J63" s="104" t="s">
        <v>7</v>
      </c>
      <c r="K63" s="98" t="s">
        <v>8</v>
      </c>
      <c r="L63" s="153" t="s">
        <v>9</v>
      </c>
      <c r="M63" s="213" t="s">
        <v>27</v>
      </c>
      <c r="N63" s="213" t="s">
        <v>11</v>
      </c>
      <c r="O63" s="14"/>
      <c r="P63" s="14"/>
      <c r="Q63" s="14"/>
      <c r="R63" s="14"/>
      <c r="S63" s="14"/>
    </row>
    <row r="64" spans="1:19" ht="51" customHeight="1" x14ac:dyDescent="0.25">
      <c r="A64" s="114" t="s">
        <v>53</v>
      </c>
      <c r="B64" s="106" t="s">
        <v>100</v>
      </c>
      <c r="C64" s="100">
        <v>106.5</v>
      </c>
      <c r="D64" s="35">
        <v>0</v>
      </c>
      <c r="E64" s="35">
        <v>0</v>
      </c>
      <c r="F64" s="101">
        <f t="shared" ref="F64:F76" si="8">D64+E64</f>
        <v>0</v>
      </c>
      <c r="G64" s="124"/>
      <c r="H64" s="100">
        <v>106.5</v>
      </c>
      <c r="I64" s="35">
        <v>0</v>
      </c>
      <c r="J64" s="35">
        <v>0</v>
      </c>
      <c r="K64" s="101">
        <f t="shared" ref="K64:K76" si="9">I64+J64</f>
        <v>0</v>
      </c>
      <c r="L64" s="96" t="s">
        <v>101</v>
      </c>
      <c r="M64" s="30"/>
      <c r="N64" s="16"/>
      <c r="O64" s="16"/>
      <c r="P64" s="16"/>
      <c r="Q64" s="16"/>
      <c r="R64" s="16"/>
      <c r="S64" s="16"/>
    </row>
    <row r="65" spans="1:19" ht="31.5" x14ac:dyDescent="0.25">
      <c r="A65" s="115" t="s">
        <v>53</v>
      </c>
      <c r="B65" s="107" t="s">
        <v>102</v>
      </c>
      <c r="C65" s="100"/>
      <c r="D65" s="35">
        <v>8</v>
      </c>
      <c r="E65" s="35">
        <v>0</v>
      </c>
      <c r="F65" s="101">
        <f t="shared" si="8"/>
        <v>8</v>
      </c>
      <c r="G65" s="124"/>
      <c r="H65" s="100"/>
      <c r="I65" s="35">
        <v>8</v>
      </c>
      <c r="J65" s="35">
        <v>0</v>
      </c>
      <c r="K65" s="101">
        <f t="shared" si="9"/>
        <v>8</v>
      </c>
      <c r="L65" s="215" t="s">
        <v>103</v>
      </c>
      <c r="M65" s="216" t="s">
        <v>37</v>
      </c>
      <c r="N65" s="217"/>
      <c r="O65" s="16"/>
      <c r="P65" s="16"/>
      <c r="Q65" s="16"/>
      <c r="R65" s="16"/>
      <c r="S65" s="16"/>
    </row>
    <row r="66" spans="1:19" ht="31.5" x14ac:dyDescent="0.25">
      <c r="A66" s="115" t="s">
        <v>28</v>
      </c>
      <c r="B66" s="106" t="s">
        <v>104</v>
      </c>
      <c r="C66" s="100">
        <v>5</v>
      </c>
      <c r="D66" s="77">
        <v>6.3</v>
      </c>
      <c r="E66" s="35">
        <v>6.5</v>
      </c>
      <c r="F66" s="101">
        <f t="shared" si="8"/>
        <v>12.8</v>
      </c>
      <c r="G66" s="124"/>
      <c r="H66" s="100">
        <v>5</v>
      </c>
      <c r="I66" s="77">
        <v>6.3</v>
      </c>
      <c r="J66" s="35">
        <v>6.5</v>
      </c>
      <c r="K66" s="101">
        <f t="shared" si="9"/>
        <v>12.8</v>
      </c>
      <c r="L66" s="218" t="s">
        <v>105</v>
      </c>
      <c r="M66" s="219" t="s">
        <v>37</v>
      </c>
      <c r="N66" s="220"/>
      <c r="O66" s="16"/>
      <c r="P66" s="16"/>
      <c r="Q66" s="16"/>
      <c r="R66" s="16"/>
      <c r="S66" s="16"/>
    </row>
    <row r="67" spans="1:19" ht="47.25" x14ac:dyDescent="0.25">
      <c r="A67" s="26" t="s">
        <v>28</v>
      </c>
      <c r="B67" s="107" t="s">
        <v>32</v>
      </c>
      <c r="C67" s="100"/>
      <c r="D67" s="35">
        <v>3.2</v>
      </c>
      <c r="E67" s="35">
        <v>3.2959999999999998</v>
      </c>
      <c r="F67" s="101">
        <f t="shared" si="8"/>
        <v>6.4960000000000004</v>
      </c>
      <c r="G67" s="124"/>
      <c r="H67" s="100"/>
      <c r="I67" s="91">
        <v>0</v>
      </c>
      <c r="J67" s="91">
        <v>0</v>
      </c>
      <c r="K67" s="101">
        <f t="shared" si="9"/>
        <v>0</v>
      </c>
      <c r="L67" s="221" t="s">
        <v>106</v>
      </c>
      <c r="M67" s="222" t="s">
        <v>107</v>
      </c>
      <c r="N67" s="220"/>
      <c r="O67" s="16"/>
      <c r="P67" s="16"/>
      <c r="Q67" s="16"/>
      <c r="R67" s="16"/>
      <c r="S67" s="16"/>
    </row>
    <row r="68" spans="1:19" ht="31.5" x14ac:dyDescent="0.25">
      <c r="A68" s="187" t="s">
        <v>35</v>
      </c>
      <c r="B68" s="106" t="s">
        <v>108</v>
      </c>
      <c r="C68" s="100">
        <v>14.3</v>
      </c>
      <c r="D68" s="35">
        <v>2.5405419999999999</v>
      </c>
      <c r="E68" s="35">
        <v>8.8355000700000002</v>
      </c>
      <c r="F68" s="101">
        <f t="shared" si="8"/>
        <v>11.37604207</v>
      </c>
      <c r="G68" s="124"/>
      <c r="H68" s="100">
        <v>14.3</v>
      </c>
      <c r="I68" s="35">
        <f>2.540542</f>
        <v>2.5405419999999999</v>
      </c>
      <c r="J68" s="35">
        <f>8.83550007+(1.82*1.03)</f>
        <v>10.710100069999999</v>
      </c>
      <c r="K68" s="101">
        <f t="shared" si="9"/>
        <v>13.25064207</v>
      </c>
      <c r="L68" s="218" t="s">
        <v>109</v>
      </c>
      <c r="M68" s="219" t="s">
        <v>110</v>
      </c>
      <c r="N68" s="220"/>
      <c r="O68" s="16"/>
      <c r="P68" s="16"/>
      <c r="Q68" s="16"/>
      <c r="R68" s="16"/>
      <c r="S68" s="16"/>
    </row>
    <row r="69" spans="1:19" ht="48.75" customHeight="1" x14ac:dyDescent="0.25">
      <c r="A69" s="115" t="s">
        <v>35</v>
      </c>
      <c r="B69" s="107" t="s">
        <v>111</v>
      </c>
      <c r="C69" s="100"/>
      <c r="D69" s="35">
        <v>0.573183</v>
      </c>
      <c r="E69" s="35">
        <v>0.290628</v>
      </c>
      <c r="F69" s="101">
        <f t="shared" si="8"/>
        <v>0.863811</v>
      </c>
      <c r="G69" s="124"/>
      <c r="H69" s="100"/>
      <c r="I69" s="35">
        <v>0.573183</v>
      </c>
      <c r="J69" s="35">
        <v>0.290628</v>
      </c>
      <c r="K69" s="101">
        <f t="shared" si="9"/>
        <v>0.863811</v>
      </c>
      <c r="L69" s="218" t="s">
        <v>112</v>
      </c>
      <c r="M69" s="223" t="s">
        <v>113</v>
      </c>
      <c r="N69" s="220" t="s">
        <v>114</v>
      </c>
      <c r="O69" s="16"/>
      <c r="P69" s="16"/>
      <c r="Q69" s="16"/>
      <c r="R69" s="16"/>
      <c r="S69" s="16"/>
    </row>
    <row r="70" spans="1:19" ht="126" x14ac:dyDescent="0.25">
      <c r="A70" s="186" t="s">
        <v>35</v>
      </c>
      <c r="B70" s="185" t="s">
        <v>115</v>
      </c>
      <c r="C70" s="100"/>
      <c r="D70" s="35"/>
      <c r="E70" s="35"/>
      <c r="F70" s="101">
        <f t="shared" si="8"/>
        <v>0</v>
      </c>
      <c r="G70" s="124"/>
      <c r="H70" s="100"/>
      <c r="I70" s="91">
        <v>1.82</v>
      </c>
      <c r="J70" s="91">
        <f>(1.82*1.03)+1.82</f>
        <v>3.6946000000000003</v>
      </c>
      <c r="K70" s="101">
        <f t="shared" si="9"/>
        <v>5.5146000000000006</v>
      </c>
      <c r="L70" s="224"/>
      <c r="M70" s="336" t="s">
        <v>116</v>
      </c>
      <c r="N70" s="220"/>
      <c r="O70" s="16"/>
      <c r="P70" s="16"/>
      <c r="Q70" s="16"/>
      <c r="R70" s="16"/>
      <c r="S70" s="16"/>
    </row>
    <row r="71" spans="1:19" ht="47.25" x14ac:dyDescent="0.25">
      <c r="A71" s="186" t="s">
        <v>35</v>
      </c>
      <c r="B71" s="185" t="s">
        <v>117</v>
      </c>
      <c r="C71" s="100"/>
      <c r="D71" s="35"/>
      <c r="E71" s="35"/>
      <c r="F71" s="101">
        <f t="shared" si="8"/>
        <v>0</v>
      </c>
      <c r="G71" s="124"/>
      <c r="H71" s="100"/>
      <c r="I71" s="91"/>
      <c r="J71" s="91">
        <v>2</v>
      </c>
      <c r="K71" s="101">
        <f t="shared" si="9"/>
        <v>2</v>
      </c>
      <c r="L71" s="224"/>
      <c r="M71" s="336" t="s">
        <v>118</v>
      </c>
      <c r="N71" s="220" t="s">
        <v>119</v>
      </c>
      <c r="O71" s="16"/>
      <c r="P71" s="16"/>
      <c r="Q71" s="16"/>
      <c r="R71" s="16"/>
      <c r="S71" s="16"/>
    </row>
    <row r="72" spans="1:19" ht="47.25" x14ac:dyDescent="0.25">
      <c r="A72" s="115" t="s">
        <v>35</v>
      </c>
      <c r="B72" s="106" t="s">
        <v>117</v>
      </c>
      <c r="C72" s="100">
        <v>2</v>
      </c>
      <c r="D72" s="35">
        <v>2.06</v>
      </c>
      <c r="E72" s="35">
        <v>2.1217999999999999</v>
      </c>
      <c r="F72" s="101">
        <f t="shared" si="8"/>
        <v>4.1818</v>
      </c>
      <c r="G72" s="124"/>
      <c r="H72" s="100">
        <v>2</v>
      </c>
      <c r="I72" s="35">
        <f>2.06</f>
        <v>2.06</v>
      </c>
      <c r="J72" s="35">
        <f>2.1218</f>
        <v>2.1217999999999999</v>
      </c>
      <c r="K72" s="101">
        <f t="shared" si="9"/>
        <v>4.1818</v>
      </c>
      <c r="L72" s="221" t="s">
        <v>120</v>
      </c>
      <c r="M72" s="222"/>
      <c r="N72" s="220" t="s">
        <v>286</v>
      </c>
      <c r="O72" s="16"/>
      <c r="P72" s="16"/>
      <c r="Q72" s="16"/>
      <c r="R72" s="16"/>
      <c r="S72" s="16"/>
    </row>
    <row r="73" spans="1:19" ht="31.5" x14ac:dyDescent="0.25">
      <c r="A73" s="115" t="s">
        <v>35</v>
      </c>
      <c r="B73" s="107" t="s">
        <v>121</v>
      </c>
      <c r="C73" s="100"/>
      <c r="D73" s="35">
        <v>1.3611150000000001</v>
      </c>
      <c r="E73" s="35">
        <v>4.0534416599999998</v>
      </c>
      <c r="F73" s="101">
        <f t="shared" si="8"/>
        <v>5.4145566599999997</v>
      </c>
      <c r="G73" s="124"/>
      <c r="H73" s="100"/>
      <c r="I73" s="35">
        <v>1.3611150000000001</v>
      </c>
      <c r="J73" s="35">
        <v>4.0534416599999998</v>
      </c>
      <c r="K73" s="101">
        <f t="shared" si="9"/>
        <v>5.4145566599999997</v>
      </c>
      <c r="L73" s="218" t="s">
        <v>122</v>
      </c>
      <c r="M73" s="219" t="s">
        <v>110</v>
      </c>
      <c r="N73" s="220"/>
      <c r="O73" s="16"/>
      <c r="P73" s="16"/>
      <c r="Q73" s="16"/>
      <c r="R73" s="16"/>
      <c r="S73" s="16"/>
    </row>
    <row r="74" spans="1:19" ht="31.5" x14ac:dyDescent="0.25">
      <c r="A74" s="115" t="s">
        <v>57</v>
      </c>
      <c r="B74" s="106" t="s">
        <v>59</v>
      </c>
      <c r="C74" s="100">
        <v>0.3</v>
      </c>
      <c r="D74" s="35">
        <v>0</v>
      </c>
      <c r="E74" s="35">
        <v>0</v>
      </c>
      <c r="F74" s="101">
        <f t="shared" si="8"/>
        <v>0</v>
      </c>
      <c r="G74" s="124"/>
      <c r="H74" s="100">
        <v>0.3</v>
      </c>
      <c r="I74" s="35">
        <v>0</v>
      </c>
      <c r="J74" s="35">
        <v>0</v>
      </c>
      <c r="K74" s="101">
        <f t="shared" si="9"/>
        <v>0</v>
      </c>
      <c r="L74" s="218" t="s">
        <v>127</v>
      </c>
      <c r="M74" s="219" t="s">
        <v>128</v>
      </c>
      <c r="N74" s="220"/>
      <c r="O74" s="16"/>
      <c r="P74" s="16"/>
      <c r="Q74" s="16"/>
      <c r="R74" s="16"/>
      <c r="S74" s="16"/>
    </row>
    <row r="75" spans="1:19" ht="31.5" x14ac:dyDescent="0.25">
      <c r="A75" s="115" t="s">
        <v>57</v>
      </c>
      <c r="B75" s="107" t="s">
        <v>60</v>
      </c>
      <c r="C75" s="100"/>
      <c r="D75" s="35">
        <v>1.875</v>
      </c>
      <c r="E75" s="35">
        <v>1.9312499999999999</v>
      </c>
      <c r="F75" s="101">
        <f t="shared" si="8"/>
        <v>3.8062499999999999</v>
      </c>
      <c r="G75" s="124"/>
      <c r="H75" s="100"/>
      <c r="I75" s="35">
        <v>1.875</v>
      </c>
      <c r="J75" s="35">
        <v>1.9312499999999999</v>
      </c>
      <c r="K75" s="101">
        <f t="shared" si="9"/>
        <v>3.8062499999999999</v>
      </c>
      <c r="L75" s="225" t="s">
        <v>129</v>
      </c>
      <c r="M75" s="226" t="s">
        <v>37</v>
      </c>
      <c r="N75" s="227"/>
      <c r="O75" s="16"/>
      <c r="P75" s="16"/>
      <c r="Q75" s="16"/>
      <c r="R75" s="16"/>
      <c r="S75" s="16"/>
    </row>
    <row r="76" spans="1:19" ht="31.5" x14ac:dyDescent="0.25">
      <c r="A76" s="11"/>
      <c r="B76" s="116" t="s">
        <v>130</v>
      </c>
      <c r="C76" s="112">
        <v>128.1</v>
      </c>
      <c r="D76" s="40">
        <v>38.9</v>
      </c>
      <c r="E76" s="40">
        <v>40.799999999999997</v>
      </c>
      <c r="F76" s="315">
        <f t="shared" si="8"/>
        <v>79.699999999999989</v>
      </c>
      <c r="G76" s="80"/>
      <c r="H76" s="112">
        <v>128.1</v>
      </c>
      <c r="I76" s="88">
        <v>38.737499999999997</v>
      </c>
      <c r="J76" s="88">
        <v>40.625</v>
      </c>
      <c r="K76" s="41">
        <f t="shared" si="9"/>
        <v>79.362499999999997</v>
      </c>
      <c r="L76" s="92" t="s">
        <v>63</v>
      </c>
      <c r="M76" s="12"/>
      <c r="N76" s="16"/>
      <c r="O76" s="16"/>
      <c r="P76" s="16"/>
      <c r="Q76" s="16"/>
      <c r="R76" s="16"/>
      <c r="S76" s="16"/>
    </row>
    <row r="77" spans="1:19" ht="15.75" x14ac:dyDescent="0.25">
      <c r="A77" s="12"/>
      <c r="B77" s="108" t="s">
        <v>131</v>
      </c>
      <c r="C77" s="102">
        <v>-5.125</v>
      </c>
      <c r="D77" s="37"/>
      <c r="E77" s="37"/>
      <c r="F77" s="42"/>
      <c r="G77" s="80"/>
      <c r="H77" s="102">
        <v>-5.125</v>
      </c>
      <c r="I77" s="37"/>
      <c r="J77" s="37"/>
      <c r="K77" s="42"/>
      <c r="L77" s="12"/>
      <c r="M77" s="12"/>
      <c r="N77" s="16"/>
      <c r="O77" s="16"/>
      <c r="P77" s="16"/>
      <c r="Q77" s="16"/>
      <c r="R77" s="16"/>
      <c r="S77" s="16"/>
    </row>
    <row r="78" spans="1:19" ht="15.75" x14ac:dyDescent="0.25">
      <c r="A78" s="12"/>
      <c r="B78" s="108" t="s">
        <v>132</v>
      </c>
      <c r="C78" s="102">
        <f>C76</f>
        <v>128.1</v>
      </c>
      <c r="D78" s="36">
        <f>SUM(D64:D75)</f>
        <v>25.909839999999999</v>
      </c>
      <c r="E78" s="36">
        <f>SUM(E64:E75)</f>
        <v>27.028619730000003</v>
      </c>
      <c r="F78" s="38"/>
      <c r="G78" s="80"/>
      <c r="H78" s="102">
        <f>H76</f>
        <v>128.1</v>
      </c>
      <c r="I78" s="36">
        <f>SUM(I64:I75)</f>
        <v>24.52984</v>
      </c>
      <c r="J78" s="36">
        <f>SUM(J64:J75)</f>
        <v>31.301819730000002</v>
      </c>
      <c r="K78" s="38"/>
      <c r="L78" s="12"/>
      <c r="M78" s="12"/>
      <c r="N78" s="16"/>
      <c r="O78" s="16"/>
      <c r="P78" s="16"/>
      <c r="Q78" s="16"/>
      <c r="R78" s="16"/>
      <c r="S78" s="16"/>
    </row>
    <row r="79" spans="1:19" ht="31.5" x14ac:dyDescent="0.25">
      <c r="A79" s="12"/>
      <c r="B79" s="108" t="s">
        <v>133</v>
      </c>
      <c r="C79" s="102">
        <v>-114.8</v>
      </c>
      <c r="D79" s="36"/>
      <c r="E79" s="36"/>
      <c r="F79" s="38"/>
      <c r="G79" s="80"/>
      <c r="H79" s="102">
        <v>-114.8</v>
      </c>
      <c r="I79" s="36"/>
      <c r="J79" s="36"/>
      <c r="K79" s="38"/>
      <c r="L79" s="12"/>
      <c r="M79" s="12"/>
      <c r="N79" s="16"/>
      <c r="O79" s="16"/>
      <c r="P79" s="16"/>
      <c r="Q79" s="16"/>
      <c r="R79" s="16"/>
      <c r="S79" s="16"/>
    </row>
    <row r="80" spans="1:19" ht="15.75" x14ac:dyDescent="0.25">
      <c r="A80" s="12"/>
      <c r="B80" s="108" t="s">
        <v>134</v>
      </c>
      <c r="C80" s="102">
        <v>0</v>
      </c>
      <c r="D80" s="36">
        <v>3.9</v>
      </c>
      <c r="E80" s="36"/>
      <c r="F80" s="38"/>
      <c r="G80" s="80"/>
      <c r="H80" s="102">
        <v>0</v>
      </c>
      <c r="I80" s="36">
        <v>4</v>
      </c>
      <c r="J80" s="36"/>
      <c r="K80" s="38"/>
      <c r="L80" s="12" t="s">
        <v>135</v>
      </c>
      <c r="M80" s="12"/>
      <c r="N80" s="16"/>
      <c r="O80" s="16"/>
      <c r="P80" s="16"/>
      <c r="Q80" s="16"/>
      <c r="R80" s="16"/>
      <c r="S80" s="16"/>
    </row>
    <row r="81" spans="1:19" ht="31.5" x14ac:dyDescent="0.25">
      <c r="A81" s="12"/>
      <c r="B81" s="194" t="s">
        <v>136</v>
      </c>
      <c r="C81" s="102">
        <f>C76+C77+C79+C80</f>
        <v>8.1749999999999972</v>
      </c>
      <c r="D81" s="36">
        <f>D76-D78-D80</f>
        <v>9.0901599999999991</v>
      </c>
      <c r="E81" s="36">
        <f>E76-E78+E80</f>
        <v>13.771380269999995</v>
      </c>
      <c r="F81" s="38"/>
      <c r="G81" s="80"/>
      <c r="H81" s="195">
        <f>H76+H77+H79+H80</f>
        <v>8.1749999999999972</v>
      </c>
      <c r="I81" s="196">
        <f>I76-I78-I80</f>
        <v>10.207659999999997</v>
      </c>
      <c r="J81" s="196">
        <f>J76-J78+J80</f>
        <v>9.3231802699999982</v>
      </c>
      <c r="K81" s="197"/>
      <c r="L81" s="206"/>
      <c r="M81" s="12"/>
      <c r="N81" s="16"/>
      <c r="O81" s="16"/>
      <c r="P81" s="16"/>
      <c r="Q81" s="16"/>
      <c r="R81" s="16"/>
      <c r="S81" s="16"/>
    </row>
    <row r="82" spans="1:19" ht="32.25" thickBot="1" x14ac:dyDescent="0.3">
      <c r="A82" s="12"/>
      <c r="B82" s="109" t="s">
        <v>137</v>
      </c>
      <c r="C82" s="202">
        <v>0</v>
      </c>
      <c r="D82" s="203"/>
      <c r="E82" s="203"/>
      <c r="F82" s="204">
        <f>SUM(C82:E82)</f>
        <v>0</v>
      </c>
      <c r="G82" s="80"/>
      <c r="H82" s="202">
        <v>0</v>
      </c>
      <c r="I82" s="203"/>
      <c r="J82" s="203"/>
      <c r="K82" s="204">
        <f>SUM(H82:J82)</f>
        <v>0</v>
      </c>
      <c r="L82" s="12"/>
      <c r="M82" s="12"/>
      <c r="N82" s="16"/>
      <c r="O82" s="16"/>
      <c r="P82" s="16"/>
      <c r="Q82" s="16"/>
      <c r="R82" s="16"/>
      <c r="S82" s="16"/>
    </row>
    <row r="83" spans="1:19" s="7" customFormat="1" ht="16.5" thickBot="1" x14ac:dyDescent="0.3">
      <c r="A83" s="11"/>
      <c r="B83" s="12"/>
      <c r="C83" s="46"/>
      <c r="D83" s="46"/>
      <c r="E83" s="46"/>
      <c r="F83" s="46"/>
      <c r="G83" s="124"/>
      <c r="H83" s="46"/>
      <c r="I83" s="46"/>
      <c r="J83" s="46"/>
      <c r="K83" s="46"/>
      <c r="L83" s="12"/>
      <c r="M83" s="12"/>
      <c r="N83" s="13"/>
      <c r="O83" s="13"/>
      <c r="P83" s="13"/>
      <c r="Q83" s="13"/>
      <c r="R83" s="13"/>
      <c r="S83" s="13"/>
    </row>
    <row r="84" spans="1:19" ht="38.25" thickBot="1" x14ac:dyDescent="0.35">
      <c r="A84" s="90" t="s">
        <v>138</v>
      </c>
      <c r="B84" s="90"/>
      <c r="C84" s="652" t="s">
        <v>1</v>
      </c>
      <c r="D84" s="653"/>
      <c r="E84" s="653"/>
      <c r="F84" s="654"/>
      <c r="G84" s="79"/>
      <c r="H84" s="680" t="s">
        <v>2</v>
      </c>
      <c r="I84" s="681"/>
      <c r="J84" s="681"/>
      <c r="K84" s="682"/>
      <c r="L84" s="17"/>
      <c r="M84" s="17"/>
      <c r="N84" s="17"/>
      <c r="O84" s="16"/>
      <c r="P84" s="16"/>
      <c r="Q84" s="16"/>
      <c r="R84" s="16"/>
      <c r="S84" s="16"/>
    </row>
    <row r="85" spans="1:19" s="6" customFormat="1" ht="48" thickBot="1" x14ac:dyDescent="0.3">
      <c r="A85" s="10" t="s">
        <v>3</v>
      </c>
      <c r="B85" s="23" t="s">
        <v>4</v>
      </c>
      <c r="C85" s="97" t="s">
        <v>5</v>
      </c>
      <c r="D85" s="33" t="s">
        <v>6</v>
      </c>
      <c r="E85" s="33" t="s">
        <v>7</v>
      </c>
      <c r="F85" s="111" t="s">
        <v>8</v>
      </c>
      <c r="G85" s="83"/>
      <c r="H85" s="97" t="s">
        <v>5</v>
      </c>
      <c r="I85" s="33" t="s">
        <v>6</v>
      </c>
      <c r="J85" s="33" t="s">
        <v>7</v>
      </c>
      <c r="K85" s="111" t="s">
        <v>8</v>
      </c>
      <c r="L85" s="153" t="s">
        <v>9</v>
      </c>
      <c r="M85" s="213" t="s">
        <v>27</v>
      </c>
      <c r="N85" s="213" t="s">
        <v>11</v>
      </c>
      <c r="O85" s="14"/>
      <c r="P85" s="14"/>
      <c r="Q85" s="14"/>
      <c r="R85" s="14"/>
      <c r="S85" s="14"/>
    </row>
    <row r="86" spans="1:19" ht="30" customHeight="1" x14ac:dyDescent="0.25">
      <c r="A86" s="27" t="s">
        <v>139</v>
      </c>
      <c r="B86" s="117" t="s">
        <v>140</v>
      </c>
      <c r="C86" s="99">
        <v>0.3</v>
      </c>
      <c r="D86" s="34">
        <v>0</v>
      </c>
      <c r="E86" s="308">
        <v>0.3</v>
      </c>
      <c r="F86" s="311">
        <f t="shared" ref="F86:F101" si="10">D86+E86</f>
        <v>0.3</v>
      </c>
      <c r="G86" s="124"/>
      <c r="H86" s="99">
        <v>0.3</v>
      </c>
      <c r="I86" s="85">
        <v>0.6</v>
      </c>
      <c r="J86" s="308">
        <v>0.3</v>
      </c>
      <c r="K86" s="311">
        <f t="shared" ref="K86:K102" si="11">J86+I86</f>
        <v>0.89999999999999991</v>
      </c>
      <c r="L86" s="672" t="s">
        <v>141</v>
      </c>
      <c r="M86" s="254" t="s">
        <v>142</v>
      </c>
      <c r="N86" s="217"/>
      <c r="O86" s="16"/>
      <c r="P86" s="16"/>
      <c r="Q86" s="16"/>
      <c r="R86" s="16"/>
      <c r="S86" s="16"/>
    </row>
    <row r="87" spans="1:19" ht="30" customHeight="1" x14ac:dyDescent="0.25">
      <c r="A87" s="28" t="s">
        <v>139</v>
      </c>
      <c r="B87" s="107" t="s">
        <v>143</v>
      </c>
      <c r="C87" s="100">
        <v>0.6</v>
      </c>
      <c r="D87" s="35">
        <v>0</v>
      </c>
      <c r="E87" s="309">
        <v>0.6</v>
      </c>
      <c r="F87" s="312">
        <f t="shared" si="10"/>
        <v>0.6</v>
      </c>
      <c r="G87" s="124"/>
      <c r="H87" s="100">
        <v>0.6</v>
      </c>
      <c r="I87" s="91">
        <v>0.6</v>
      </c>
      <c r="J87" s="309">
        <v>0.6</v>
      </c>
      <c r="K87" s="312">
        <f t="shared" si="11"/>
        <v>1.2</v>
      </c>
      <c r="L87" s="673"/>
      <c r="M87" s="239" t="s">
        <v>142</v>
      </c>
      <c r="N87" s="220"/>
      <c r="O87" s="16"/>
      <c r="P87" s="16"/>
      <c r="Q87" s="16"/>
      <c r="R87" s="16"/>
      <c r="S87" s="16"/>
    </row>
    <row r="88" spans="1:19" ht="31.5" x14ac:dyDescent="0.25">
      <c r="A88" s="28" t="s">
        <v>139</v>
      </c>
      <c r="B88" s="107" t="s">
        <v>144</v>
      </c>
      <c r="C88" s="100">
        <v>1.2</v>
      </c>
      <c r="D88" s="35">
        <v>0</v>
      </c>
      <c r="E88" s="309">
        <v>0.6</v>
      </c>
      <c r="F88" s="312">
        <f t="shared" si="10"/>
        <v>0.6</v>
      </c>
      <c r="G88" s="124"/>
      <c r="H88" s="100">
        <v>1.2</v>
      </c>
      <c r="I88" s="35">
        <v>0</v>
      </c>
      <c r="J88" s="309">
        <v>0.6</v>
      </c>
      <c r="K88" s="312">
        <f t="shared" si="11"/>
        <v>0.6</v>
      </c>
      <c r="L88" s="218" t="s">
        <v>145</v>
      </c>
      <c r="M88" s="255" t="s">
        <v>146</v>
      </c>
      <c r="N88" s="220"/>
      <c r="O88" s="16"/>
      <c r="P88" s="16"/>
      <c r="Q88" s="16"/>
      <c r="R88" s="16"/>
      <c r="S88" s="16"/>
    </row>
    <row r="89" spans="1:19" ht="15.75" x14ac:dyDescent="0.25">
      <c r="A89" s="28" t="s">
        <v>147</v>
      </c>
      <c r="B89" s="107" t="s">
        <v>148</v>
      </c>
      <c r="C89" s="100">
        <v>5.9</v>
      </c>
      <c r="D89" s="35">
        <v>0</v>
      </c>
      <c r="E89" s="309">
        <v>0</v>
      </c>
      <c r="F89" s="312">
        <f t="shared" si="10"/>
        <v>0</v>
      </c>
      <c r="G89" s="124"/>
      <c r="H89" s="100">
        <v>5.9</v>
      </c>
      <c r="I89" s="35">
        <v>0</v>
      </c>
      <c r="J89" s="309">
        <v>0</v>
      </c>
      <c r="K89" s="312">
        <f t="shared" si="11"/>
        <v>0</v>
      </c>
      <c r="L89" s="314" t="s">
        <v>149</v>
      </c>
      <c r="M89" s="674"/>
      <c r="N89" s="261"/>
      <c r="O89" s="16"/>
      <c r="P89" s="16"/>
      <c r="Q89" s="16"/>
      <c r="R89" s="16"/>
      <c r="S89" s="16"/>
    </row>
    <row r="90" spans="1:19" ht="15.75" x14ac:dyDescent="0.25">
      <c r="A90" s="28" t="s">
        <v>147</v>
      </c>
      <c r="B90" s="107" t="s">
        <v>150</v>
      </c>
      <c r="C90" s="100">
        <v>5</v>
      </c>
      <c r="D90" s="35">
        <v>0</v>
      </c>
      <c r="E90" s="309">
        <v>0</v>
      </c>
      <c r="F90" s="312">
        <f t="shared" si="10"/>
        <v>0</v>
      </c>
      <c r="G90" s="124"/>
      <c r="H90" s="100">
        <v>5</v>
      </c>
      <c r="I90" s="35">
        <v>0</v>
      </c>
      <c r="J90" s="309">
        <v>0</v>
      </c>
      <c r="K90" s="312">
        <f t="shared" si="11"/>
        <v>0</v>
      </c>
      <c r="L90" s="314" t="s">
        <v>149</v>
      </c>
      <c r="M90" s="674"/>
      <c r="N90" s="261"/>
      <c r="O90" s="16"/>
      <c r="P90" s="16"/>
      <c r="Q90" s="16"/>
      <c r="R90" s="16"/>
      <c r="S90" s="16"/>
    </row>
    <row r="91" spans="1:19" ht="15.75" x14ac:dyDescent="0.25">
      <c r="A91" s="28" t="s">
        <v>147</v>
      </c>
      <c r="B91" s="107" t="s">
        <v>151</v>
      </c>
      <c r="C91" s="100">
        <v>7.6403241500000005</v>
      </c>
      <c r="D91" s="35">
        <v>0</v>
      </c>
      <c r="E91" s="309">
        <v>0</v>
      </c>
      <c r="F91" s="312">
        <f t="shared" si="10"/>
        <v>0</v>
      </c>
      <c r="G91" s="124"/>
      <c r="H91" s="100">
        <v>7.6403241500000005</v>
      </c>
      <c r="I91" s="35">
        <v>0</v>
      </c>
      <c r="J91" s="309">
        <v>0</v>
      </c>
      <c r="K91" s="312">
        <f t="shared" si="11"/>
        <v>0</v>
      </c>
      <c r="L91" s="676" t="s">
        <v>152</v>
      </c>
      <c r="M91" s="674"/>
      <c r="N91" s="261"/>
      <c r="O91" s="16"/>
      <c r="P91" s="16"/>
      <c r="Q91" s="16"/>
      <c r="R91" s="16"/>
      <c r="S91" s="16"/>
    </row>
    <row r="92" spans="1:19" ht="15.75" x14ac:dyDescent="0.25">
      <c r="A92" s="28" t="s">
        <v>147</v>
      </c>
      <c r="B92" s="107" t="s">
        <v>151</v>
      </c>
      <c r="C92" s="100">
        <v>-0.89524384000000012</v>
      </c>
      <c r="D92" s="35">
        <v>0</v>
      </c>
      <c r="E92" s="309">
        <v>0</v>
      </c>
      <c r="F92" s="312">
        <f t="shared" si="10"/>
        <v>0</v>
      </c>
      <c r="G92" s="124"/>
      <c r="H92" s="100">
        <v>-0.89524384000000012</v>
      </c>
      <c r="I92" s="35">
        <v>0</v>
      </c>
      <c r="J92" s="309">
        <v>0</v>
      </c>
      <c r="K92" s="312">
        <f t="shared" si="11"/>
        <v>0</v>
      </c>
      <c r="L92" s="676"/>
      <c r="M92" s="674"/>
      <c r="N92" s="261"/>
      <c r="O92" s="16"/>
      <c r="P92" s="16"/>
      <c r="Q92" s="16"/>
      <c r="R92" s="16"/>
      <c r="S92" s="16"/>
    </row>
    <row r="93" spans="1:19" ht="15.75" x14ac:dyDescent="0.25">
      <c r="A93" s="28" t="s">
        <v>147</v>
      </c>
      <c r="B93" s="107" t="s">
        <v>153</v>
      </c>
      <c r="C93" s="100">
        <v>1.8</v>
      </c>
      <c r="D93" s="35">
        <v>1.8</v>
      </c>
      <c r="E93" s="309">
        <v>1.85</v>
      </c>
      <c r="F93" s="312">
        <f t="shared" si="10"/>
        <v>3.6500000000000004</v>
      </c>
      <c r="G93" s="124"/>
      <c r="H93" s="100">
        <v>1.8</v>
      </c>
      <c r="I93" s="35">
        <v>1.8</v>
      </c>
      <c r="J93" s="309">
        <v>1.85</v>
      </c>
      <c r="K93" s="312">
        <f t="shared" si="11"/>
        <v>3.6500000000000004</v>
      </c>
      <c r="L93" s="218" t="s">
        <v>154</v>
      </c>
      <c r="M93" s="239" t="s">
        <v>37</v>
      </c>
      <c r="N93" s="220"/>
      <c r="O93" s="16"/>
      <c r="P93" s="16"/>
      <c r="Q93" s="16"/>
      <c r="R93" s="16"/>
      <c r="S93" s="16"/>
    </row>
    <row r="94" spans="1:19" ht="54.75" customHeight="1" x14ac:dyDescent="0.25">
      <c r="A94" s="28" t="s">
        <v>147</v>
      </c>
      <c r="B94" s="107" t="s">
        <v>155</v>
      </c>
      <c r="C94" s="100">
        <v>2.9041730000000001</v>
      </c>
      <c r="D94" s="35">
        <v>3</v>
      </c>
      <c r="E94" s="309">
        <v>3.1</v>
      </c>
      <c r="F94" s="312">
        <f t="shared" si="10"/>
        <v>6.1</v>
      </c>
      <c r="G94" s="124"/>
      <c r="H94" s="100">
        <v>2.9041730000000001</v>
      </c>
      <c r="I94" s="35">
        <v>3</v>
      </c>
      <c r="J94" s="309">
        <v>3.1</v>
      </c>
      <c r="K94" s="312">
        <f t="shared" si="11"/>
        <v>6.1</v>
      </c>
      <c r="L94" s="218" t="s">
        <v>156</v>
      </c>
      <c r="M94" s="239" t="s">
        <v>37</v>
      </c>
      <c r="N94" s="220"/>
      <c r="O94" s="16"/>
      <c r="P94" s="16"/>
      <c r="Q94" s="16"/>
      <c r="R94" s="16"/>
      <c r="S94" s="16"/>
    </row>
    <row r="95" spans="1:19" ht="31.5" x14ac:dyDescent="0.25">
      <c r="A95" s="28" t="s">
        <v>147</v>
      </c>
      <c r="B95" s="107" t="s">
        <v>157</v>
      </c>
      <c r="C95" s="100">
        <v>15.413756769999999</v>
      </c>
      <c r="D95" s="35">
        <v>8.1489999999999991</v>
      </c>
      <c r="E95" s="309">
        <v>0</v>
      </c>
      <c r="F95" s="312">
        <f t="shared" si="10"/>
        <v>8.1489999999999991</v>
      </c>
      <c r="G95" s="124"/>
      <c r="H95" s="100">
        <v>15.413756769999999</v>
      </c>
      <c r="I95" s="35">
        <v>8.1489999999999991</v>
      </c>
      <c r="J95" s="309">
        <v>0</v>
      </c>
      <c r="K95" s="312">
        <f t="shared" si="11"/>
        <v>8.1489999999999991</v>
      </c>
      <c r="L95" s="218" t="s">
        <v>158</v>
      </c>
      <c r="M95" s="239" t="s">
        <v>37</v>
      </c>
      <c r="N95" s="220"/>
      <c r="O95" s="16"/>
      <c r="P95" s="16"/>
      <c r="Q95" s="16"/>
      <c r="R95" s="16"/>
      <c r="S95" s="16"/>
    </row>
    <row r="96" spans="1:19" ht="15.75" x14ac:dyDescent="0.25">
      <c r="A96" s="190" t="s">
        <v>147</v>
      </c>
      <c r="B96" s="191" t="s">
        <v>159</v>
      </c>
      <c r="C96" s="188">
        <v>5.7539999999999996</v>
      </c>
      <c r="D96" s="189">
        <v>7.46</v>
      </c>
      <c r="E96" s="310">
        <v>7.7</v>
      </c>
      <c r="F96" s="312">
        <f t="shared" si="10"/>
        <v>15.16</v>
      </c>
      <c r="G96" s="124"/>
      <c r="H96" s="188">
        <v>5.7539999999999996</v>
      </c>
      <c r="I96" s="189">
        <v>7.46</v>
      </c>
      <c r="J96" s="310">
        <v>7.7</v>
      </c>
      <c r="K96" s="312">
        <f t="shared" si="11"/>
        <v>15.16</v>
      </c>
      <c r="L96" s="218" t="s">
        <v>160</v>
      </c>
      <c r="M96" s="239" t="s">
        <v>37</v>
      </c>
      <c r="N96" s="220"/>
      <c r="O96" s="16"/>
      <c r="P96" s="16"/>
      <c r="Q96" s="16"/>
      <c r="R96" s="16"/>
      <c r="S96" s="16"/>
    </row>
    <row r="97" spans="1:19" ht="31.5" x14ac:dyDescent="0.25">
      <c r="A97" s="192" t="s">
        <v>147</v>
      </c>
      <c r="B97" s="107" t="s">
        <v>161</v>
      </c>
      <c r="C97" s="100">
        <v>0</v>
      </c>
      <c r="D97" s="35">
        <v>14.7</v>
      </c>
      <c r="E97" s="309">
        <v>15.1</v>
      </c>
      <c r="F97" s="312">
        <f t="shared" si="10"/>
        <v>29.799999999999997</v>
      </c>
      <c r="G97" s="193"/>
      <c r="H97" s="100">
        <v>0</v>
      </c>
      <c r="I97" s="91">
        <f>14.7-1.2</f>
        <v>13.5</v>
      </c>
      <c r="J97" s="309">
        <f>15.1</f>
        <v>15.1</v>
      </c>
      <c r="K97" s="312">
        <f t="shared" si="11"/>
        <v>28.6</v>
      </c>
      <c r="L97" s="221" t="s">
        <v>162</v>
      </c>
      <c r="M97" s="214" t="s">
        <v>163</v>
      </c>
      <c r="N97" s="220"/>
      <c r="O97" s="16"/>
      <c r="P97" s="16"/>
      <c r="Q97" s="16"/>
      <c r="R97" s="16"/>
      <c r="S97" s="16"/>
    </row>
    <row r="98" spans="1:19" ht="31.5" x14ac:dyDescent="0.25">
      <c r="A98" s="192" t="s">
        <v>164</v>
      </c>
      <c r="B98" s="107" t="s">
        <v>164</v>
      </c>
      <c r="C98" s="100">
        <v>0</v>
      </c>
      <c r="D98" s="35">
        <v>0</v>
      </c>
      <c r="E98" s="309">
        <v>0</v>
      </c>
      <c r="F98" s="312">
        <f t="shared" si="10"/>
        <v>0</v>
      </c>
      <c r="G98" s="193"/>
      <c r="H98" s="100">
        <v>0</v>
      </c>
      <c r="I98" s="35">
        <v>0</v>
      </c>
      <c r="J98" s="309">
        <v>0</v>
      </c>
      <c r="K98" s="312">
        <f t="shared" si="11"/>
        <v>0</v>
      </c>
      <c r="L98" s="258" t="s">
        <v>165</v>
      </c>
      <c r="M98" s="260"/>
      <c r="N98" s="261" t="s">
        <v>166</v>
      </c>
      <c r="O98" s="16"/>
      <c r="P98" s="16"/>
      <c r="Q98" s="16"/>
      <c r="R98" s="16"/>
      <c r="S98" s="16"/>
    </row>
    <row r="99" spans="1:19" ht="31.5" x14ac:dyDescent="0.25">
      <c r="A99" s="192" t="s">
        <v>164</v>
      </c>
      <c r="B99" s="107" t="s">
        <v>167</v>
      </c>
      <c r="C99" s="100">
        <v>0.9</v>
      </c>
      <c r="D99" s="35">
        <v>0.92700000000000005</v>
      </c>
      <c r="E99" s="309">
        <v>0.95</v>
      </c>
      <c r="F99" s="312">
        <f t="shared" si="10"/>
        <v>1.877</v>
      </c>
      <c r="G99" s="193"/>
      <c r="H99" s="100">
        <v>0.9</v>
      </c>
      <c r="I99" s="35">
        <v>0.92700000000000005</v>
      </c>
      <c r="J99" s="309">
        <v>0.95</v>
      </c>
      <c r="K99" s="312">
        <f t="shared" si="11"/>
        <v>1.877</v>
      </c>
      <c r="L99" s="218"/>
      <c r="M99" s="239" t="s">
        <v>37</v>
      </c>
      <c r="N99" s="220"/>
      <c r="O99" s="16"/>
      <c r="P99" s="16"/>
      <c r="Q99" s="16"/>
      <c r="R99" s="16"/>
      <c r="S99" s="16"/>
    </row>
    <row r="100" spans="1:19" ht="15.75" x14ac:dyDescent="0.25">
      <c r="A100" s="192" t="s">
        <v>57</v>
      </c>
      <c r="B100" s="107" t="s">
        <v>59</v>
      </c>
      <c r="C100" s="100">
        <v>1.1731443899999998</v>
      </c>
      <c r="D100" s="35">
        <v>0</v>
      </c>
      <c r="E100" s="309">
        <v>0</v>
      </c>
      <c r="F100" s="312">
        <f t="shared" si="10"/>
        <v>0</v>
      </c>
      <c r="G100" s="193"/>
      <c r="H100" s="100">
        <v>1.1731443899999998</v>
      </c>
      <c r="I100" s="35">
        <v>0</v>
      </c>
      <c r="J100" s="309">
        <v>0</v>
      </c>
      <c r="K100" s="312">
        <f t="shared" si="11"/>
        <v>0</v>
      </c>
      <c r="L100" s="258" t="s">
        <v>168</v>
      </c>
      <c r="M100" s="260"/>
      <c r="N100" s="261"/>
      <c r="O100" s="16"/>
      <c r="P100" s="16"/>
      <c r="Q100" s="16"/>
      <c r="R100" s="16"/>
      <c r="S100" s="16"/>
    </row>
    <row r="101" spans="1:19" ht="31.5" x14ac:dyDescent="0.25">
      <c r="A101" s="192" t="s">
        <v>57</v>
      </c>
      <c r="B101" s="107" t="s">
        <v>60</v>
      </c>
      <c r="C101" s="100">
        <v>1.310924</v>
      </c>
      <c r="D101" s="35">
        <v>2.2109239999999999</v>
      </c>
      <c r="E101" s="309">
        <v>2.4</v>
      </c>
      <c r="F101" s="313">
        <f t="shared" si="10"/>
        <v>4.6109239999999998</v>
      </c>
      <c r="G101" s="193"/>
      <c r="H101" s="100">
        <v>1.310924</v>
      </c>
      <c r="I101" s="35">
        <v>2.2109239999999999</v>
      </c>
      <c r="J101" s="309">
        <v>2.4</v>
      </c>
      <c r="K101" s="313">
        <f t="shared" si="11"/>
        <v>4.6109239999999998</v>
      </c>
      <c r="L101" s="225" t="s">
        <v>61</v>
      </c>
      <c r="M101" s="257" t="s">
        <v>37</v>
      </c>
      <c r="N101" s="227"/>
      <c r="O101" s="16"/>
      <c r="P101" s="16"/>
      <c r="Q101" s="16"/>
      <c r="R101" s="16"/>
      <c r="S101" s="16"/>
    </row>
    <row r="102" spans="1:19" ht="31.5" x14ac:dyDescent="0.25">
      <c r="A102" s="12"/>
      <c r="B102" s="118" t="s">
        <v>169</v>
      </c>
      <c r="C102" s="120">
        <v>49</v>
      </c>
      <c r="D102" s="47">
        <v>31.1</v>
      </c>
      <c r="E102" s="47">
        <v>32.6</v>
      </c>
      <c r="F102" s="48">
        <f>E102+D102</f>
        <v>63.7</v>
      </c>
      <c r="G102" s="80"/>
      <c r="H102" s="120">
        <v>49</v>
      </c>
      <c r="I102" s="88">
        <v>30.99</v>
      </c>
      <c r="J102" s="88">
        <v>32.5</v>
      </c>
      <c r="K102" s="48">
        <f t="shared" si="11"/>
        <v>63.489999999999995</v>
      </c>
      <c r="L102" s="92" t="s">
        <v>63</v>
      </c>
      <c r="M102" s="13"/>
      <c r="N102" s="13"/>
      <c r="O102" s="13"/>
      <c r="P102" s="16"/>
      <c r="Q102" s="16"/>
      <c r="R102" s="16"/>
      <c r="S102" s="16"/>
    </row>
    <row r="103" spans="1:19" ht="31.5" x14ac:dyDescent="0.25">
      <c r="A103" s="12"/>
      <c r="B103" s="119" t="s">
        <v>170</v>
      </c>
      <c r="C103" s="121">
        <v>-4.0999999999999996</v>
      </c>
      <c r="D103" s="49"/>
      <c r="E103" s="49"/>
      <c r="F103" s="50"/>
      <c r="G103" s="80"/>
      <c r="H103" s="121">
        <v>-4.0999999999999996</v>
      </c>
      <c r="I103" s="49"/>
      <c r="J103" s="49"/>
      <c r="K103" s="50"/>
      <c r="L103" s="12"/>
      <c r="M103" s="13"/>
      <c r="N103" s="13"/>
      <c r="O103" s="13"/>
      <c r="P103" s="16"/>
      <c r="Q103" s="16"/>
      <c r="R103" s="16"/>
      <c r="S103" s="16"/>
    </row>
    <row r="104" spans="1:19" ht="15.75" x14ac:dyDescent="0.25">
      <c r="A104" s="12"/>
      <c r="B104" s="119" t="s">
        <v>171</v>
      </c>
      <c r="C104" s="122">
        <f>SUM(C86:C101)</f>
        <v>49.001078469999996</v>
      </c>
      <c r="D104" s="51">
        <f>SUM(D86:D101)</f>
        <v>38.246923999999993</v>
      </c>
      <c r="E104" s="51">
        <f>SUM(E86:E101)</f>
        <v>32.6</v>
      </c>
      <c r="F104" s="50"/>
      <c r="G104" s="80"/>
      <c r="H104" s="122">
        <f>SUM(H86:H99)</f>
        <v>46.517010079999999</v>
      </c>
      <c r="I104" s="51">
        <f>SUM(I86:I101)</f>
        <v>38.246923999999993</v>
      </c>
      <c r="J104" s="51">
        <f>SUM(J86:J101)</f>
        <v>32.6</v>
      </c>
      <c r="K104" s="50"/>
      <c r="L104" s="12"/>
      <c r="M104" s="13"/>
      <c r="N104" s="13"/>
      <c r="O104" s="13"/>
      <c r="P104" s="16"/>
      <c r="Q104" s="16"/>
      <c r="R104" s="16"/>
      <c r="S104" s="16"/>
    </row>
    <row r="105" spans="1:19" ht="31.5" x14ac:dyDescent="0.25">
      <c r="A105" s="12"/>
      <c r="B105" s="119" t="s">
        <v>172</v>
      </c>
      <c r="C105" s="122">
        <v>-37.200000000000003</v>
      </c>
      <c r="D105" s="52"/>
      <c r="E105" s="52"/>
      <c r="F105" s="50"/>
      <c r="G105" s="80"/>
      <c r="H105" s="122">
        <v>-37.200000000000003</v>
      </c>
      <c r="I105" s="52"/>
      <c r="J105" s="52"/>
      <c r="K105" s="50"/>
      <c r="L105" s="12"/>
      <c r="M105" s="13"/>
      <c r="N105" s="13"/>
      <c r="O105" s="13"/>
      <c r="P105" s="16"/>
      <c r="Q105" s="16"/>
      <c r="R105" s="16"/>
      <c r="S105" s="16"/>
    </row>
    <row r="106" spans="1:19" ht="31.5" x14ac:dyDescent="0.25">
      <c r="A106" s="12"/>
      <c r="B106" s="119" t="s">
        <v>173</v>
      </c>
      <c r="C106" s="122">
        <v>0</v>
      </c>
      <c r="D106" s="52"/>
      <c r="E106" s="52"/>
      <c r="F106" s="50"/>
      <c r="G106" s="80"/>
      <c r="H106" s="122">
        <v>0</v>
      </c>
      <c r="I106" s="52"/>
      <c r="J106" s="52"/>
      <c r="K106" s="50"/>
      <c r="L106" s="12"/>
      <c r="M106" s="13"/>
      <c r="N106" s="13"/>
      <c r="O106" s="13"/>
      <c r="P106" s="16"/>
      <c r="Q106" s="16"/>
      <c r="R106" s="16"/>
      <c r="S106" s="16"/>
    </row>
    <row r="107" spans="1:19" ht="32.25" thickBot="1" x14ac:dyDescent="0.3">
      <c r="A107" s="13"/>
      <c r="B107" s="119" t="s">
        <v>174</v>
      </c>
      <c r="C107" s="122">
        <f>C102+C103+C105+C106</f>
        <v>7.6999999999999957</v>
      </c>
      <c r="D107" s="52">
        <f>D102-D104+D106</f>
        <v>-7.1469239999999914</v>
      </c>
      <c r="E107" s="52">
        <f>E102-E104+E106</f>
        <v>0</v>
      </c>
      <c r="F107" s="50"/>
      <c r="G107" s="80"/>
      <c r="H107" s="123">
        <f>H102+H103+H105+H106</f>
        <v>7.6999999999999957</v>
      </c>
      <c r="I107" s="53">
        <f>I102-I104+I106</f>
        <v>-7.2569239999999944</v>
      </c>
      <c r="J107" s="53">
        <f>J102-J104+J106</f>
        <v>-0.10000000000000142</v>
      </c>
      <c r="K107" s="54"/>
      <c r="L107" s="12" t="s">
        <v>175</v>
      </c>
      <c r="M107" s="13"/>
      <c r="N107" s="13"/>
      <c r="O107" s="13"/>
      <c r="P107" s="16"/>
      <c r="Q107" s="16"/>
      <c r="R107" s="16"/>
      <c r="S107" s="16"/>
    </row>
    <row r="108" spans="1:19" ht="31.5" x14ac:dyDescent="0.25">
      <c r="A108" s="13"/>
      <c r="B108" s="329" t="s">
        <v>176</v>
      </c>
      <c r="C108" s="330"/>
      <c r="D108" s="331">
        <f>D107+C107</f>
        <v>0.55307600000000434</v>
      </c>
      <c r="E108" s="331"/>
      <c r="F108" s="332"/>
      <c r="G108" s="80"/>
      <c r="H108" s="330"/>
      <c r="I108" s="331">
        <f>I107+H107</f>
        <v>0.44307600000000136</v>
      </c>
      <c r="J108" s="331">
        <f>J107+I108</f>
        <v>0.34307599999999994</v>
      </c>
      <c r="K108" s="332"/>
      <c r="L108" s="12"/>
      <c r="M108" s="13"/>
      <c r="N108" s="13"/>
      <c r="O108" s="13"/>
      <c r="P108" s="16"/>
      <c r="Q108" s="16"/>
      <c r="R108" s="16"/>
      <c r="S108" s="16"/>
    </row>
    <row r="109" spans="1:19" s="7" customFormat="1" ht="16.5" thickBot="1" x14ac:dyDescent="0.3">
      <c r="A109" s="12"/>
      <c r="B109" s="13"/>
      <c r="C109" s="55"/>
      <c r="D109" s="56"/>
      <c r="E109" s="56"/>
      <c r="F109" s="56"/>
      <c r="G109" s="81"/>
      <c r="H109" s="155"/>
      <c r="I109" s="56"/>
      <c r="J109" s="56"/>
      <c r="K109" s="56"/>
      <c r="L109" s="13"/>
      <c r="M109" s="13"/>
      <c r="N109" s="13"/>
      <c r="O109" s="13"/>
      <c r="P109" s="13"/>
      <c r="Q109" s="13"/>
      <c r="R109" s="13"/>
      <c r="S109" s="13"/>
    </row>
    <row r="110" spans="1:19" ht="19.5" thickBot="1" x14ac:dyDescent="0.35">
      <c r="A110" s="655" t="s">
        <v>177</v>
      </c>
      <c r="B110" s="655"/>
      <c r="C110" s="656" t="s">
        <v>1</v>
      </c>
      <c r="D110" s="657"/>
      <c r="E110" s="657"/>
      <c r="F110" s="658"/>
      <c r="G110" s="124"/>
      <c r="H110" s="659" t="s">
        <v>178</v>
      </c>
      <c r="I110" s="660"/>
      <c r="J110" s="660"/>
      <c r="K110" s="661"/>
      <c r="L110" s="18"/>
      <c r="M110" s="19"/>
      <c r="N110" s="19"/>
      <c r="O110" s="16"/>
      <c r="P110" s="16"/>
      <c r="Q110" s="16"/>
      <c r="R110" s="16"/>
      <c r="S110" s="16"/>
    </row>
    <row r="111" spans="1:19" s="6" customFormat="1" ht="48" thickBot="1" x14ac:dyDescent="0.3">
      <c r="A111" s="125" t="s">
        <v>3</v>
      </c>
      <c r="B111" s="105" t="s">
        <v>4</v>
      </c>
      <c r="C111" s="110" t="s">
        <v>5</v>
      </c>
      <c r="D111" s="104" t="s">
        <v>6</v>
      </c>
      <c r="E111" s="104" t="s">
        <v>7</v>
      </c>
      <c r="F111" s="98" t="s">
        <v>8</v>
      </c>
      <c r="G111" s="83"/>
      <c r="H111" s="262" t="s">
        <v>5</v>
      </c>
      <c r="I111" s="126" t="s">
        <v>6</v>
      </c>
      <c r="J111" s="126" t="s">
        <v>7</v>
      </c>
      <c r="K111" s="98" t="s">
        <v>8</v>
      </c>
      <c r="L111" s="153" t="s">
        <v>9</v>
      </c>
      <c r="M111" s="213" t="s">
        <v>27</v>
      </c>
      <c r="N111" s="213" t="s">
        <v>11</v>
      </c>
      <c r="O111" s="14"/>
      <c r="P111" s="14"/>
      <c r="Q111" s="14"/>
      <c r="R111" s="14"/>
      <c r="S111" s="14"/>
    </row>
    <row r="112" spans="1:19" ht="63" x14ac:dyDescent="0.25">
      <c r="A112" s="26" t="s">
        <v>179</v>
      </c>
      <c r="B112" s="106" t="s">
        <v>180</v>
      </c>
      <c r="C112" s="100">
        <v>18.5</v>
      </c>
      <c r="D112" s="35">
        <v>14.5</v>
      </c>
      <c r="E112" s="35">
        <v>12.2</v>
      </c>
      <c r="F112" s="101"/>
      <c r="G112" s="124"/>
      <c r="H112" s="263">
        <v>18.5</v>
      </c>
      <c r="I112" s="35">
        <v>14.5</v>
      </c>
      <c r="J112" s="35">
        <v>12.2</v>
      </c>
      <c r="K112" s="264">
        <f>J112+I112</f>
        <v>26.7</v>
      </c>
      <c r="L112" s="215" t="s">
        <v>181</v>
      </c>
      <c r="M112" s="259" t="s">
        <v>182</v>
      </c>
      <c r="N112" s="217"/>
      <c r="O112" s="16"/>
      <c r="P112" s="16"/>
      <c r="Q112" s="16"/>
      <c r="R112" s="16"/>
      <c r="S112" s="16"/>
    </row>
    <row r="113" spans="1:20" ht="47.25" x14ac:dyDescent="0.25">
      <c r="A113" s="26" t="s">
        <v>179</v>
      </c>
      <c r="B113" s="106" t="s">
        <v>183</v>
      </c>
      <c r="C113" s="100">
        <v>20.5</v>
      </c>
      <c r="D113" s="35">
        <v>29.2</v>
      </c>
      <c r="E113" s="35">
        <v>25.53</v>
      </c>
      <c r="F113" s="101"/>
      <c r="G113" s="124"/>
      <c r="H113" s="263">
        <v>20.5</v>
      </c>
      <c r="I113" s="35">
        <v>29.2</v>
      </c>
      <c r="J113" s="35">
        <v>25.53</v>
      </c>
      <c r="K113" s="264">
        <f>J113+I113</f>
        <v>54.730000000000004</v>
      </c>
      <c r="L113" s="218" t="s">
        <v>184</v>
      </c>
      <c r="M113" s="239"/>
      <c r="N113" s="220"/>
      <c r="O113" s="16"/>
      <c r="P113" s="16"/>
      <c r="Q113" s="16"/>
      <c r="R113" s="16"/>
      <c r="S113" s="16"/>
    </row>
    <row r="114" spans="1:20" ht="63" x14ac:dyDescent="0.25">
      <c r="A114" s="184" t="s">
        <v>287</v>
      </c>
      <c r="B114" s="185" t="s">
        <v>288</v>
      </c>
      <c r="C114" s="100"/>
      <c r="D114" s="35"/>
      <c r="E114" s="35"/>
      <c r="F114" s="101"/>
      <c r="G114" s="124"/>
      <c r="H114" s="263"/>
      <c r="I114" s="91">
        <v>1.75</v>
      </c>
      <c r="J114" s="91">
        <v>1.75</v>
      </c>
      <c r="K114" s="264">
        <f>I114+J114</f>
        <v>3.5</v>
      </c>
      <c r="L114" s="218"/>
      <c r="M114" s="239" t="s">
        <v>289</v>
      </c>
      <c r="N114" s="220" t="s">
        <v>290</v>
      </c>
      <c r="O114" s="16"/>
      <c r="P114" s="16"/>
      <c r="Q114" s="16"/>
      <c r="R114" s="16"/>
      <c r="S114" s="16"/>
    </row>
    <row r="115" spans="1:20" ht="60" x14ac:dyDescent="0.25">
      <c r="A115" s="184" t="s">
        <v>179</v>
      </c>
      <c r="B115" s="185" t="s">
        <v>291</v>
      </c>
      <c r="C115" s="100"/>
      <c r="D115" s="35"/>
      <c r="E115" s="35"/>
      <c r="F115" s="101"/>
      <c r="G115" s="124"/>
      <c r="H115" s="263"/>
      <c r="I115" s="91">
        <v>1.75</v>
      </c>
      <c r="J115" s="91">
        <v>1.75</v>
      </c>
      <c r="K115" s="264">
        <f>I115+J115</f>
        <v>3.5</v>
      </c>
      <c r="L115" s="218"/>
      <c r="M115" s="326" t="s">
        <v>292</v>
      </c>
      <c r="N115" s="220"/>
      <c r="O115" s="16"/>
      <c r="P115" s="16"/>
      <c r="Q115" s="16"/>
      <c r="R115" s="16"/>
      <c r="S115" s="16"/>
    </row>
    <row r="116" spans="1:20" ht="15.6" customHeight="1" x14ac:dyDescent="0.25">
      <c r="A116" s="26" t="s">
        <v>186</v>
      </c>
      <c r="B116" s="106" t="s">
        <v>187</v>
      </c>
      <c r="C116" s="130" t="s">
        <v>188</v>
      </c>
      <c r="D116" s="35">
        <v>0</v>
      </c>
      <c r="E116" s="35">
        <v>0</v>
      </c>
      <c r="F116" s="101"/>
      <c r="G116" s="124"/>
      <c r="H116" s="265" t="s">
        <v>188</v>
      </c>
      <c r="I116" s="35">
        <v>0</v>
      </c>
      <c r="J116" s="35">
        <v>0</v>
      </c>
      <c r="K116" s="264">
        <f>J116+I116</f>
        <v>0</v>
      </c>
      <c r="L116" s="284" t="s">
        <v>189</v>
      </c>
      <c r="M116" s="256" t="s">
        <v>37</v>
      </c>
      <c r="N116" s="220"/>
      <c r="O116" s="16"/>
      <c r="P116" s="16"/>
      <c r="Q116" s="16"/>
      <c r="R116" s="16"/>
      <c r="S116" s="16"/>
    </row>
    <row r="117" spans="1:20" ht="30.95" customHeight="1" x14ac:dyDescent="0.25">
      <c r="A117" s="26" t="s">
        <v>186</v>
      </c>
      <c r="B117" s="106" t="s">
        <v>190</v>
      </c>
      <c r="C117" s="100">
        <v>11.2</v>
      </c>
      <c r="D117" s="35">
        <v>0</v>
      </c>
      <c r="E117" s="35">
        <v>0</v>
      </c>
      <c r="F117" s="101"/>
      <c r="G117" s="124"/>
      <c r="H117" s="263">
        <v>11.2</v>
      </c>
      <c r="I117" s="35">
        <v>0</v>
      </c>
      <c r="J117" s="35">
        <v>0</v>
      </c>
      <c r="K117" s="264">
        <f>J117+I117</f>
        <v>0</v>
      </c>
      <c r="L117" s="284"/>
      <c r="M117" s="256"/>
      <c r="N117" s="220"/>
      <c r="O117" s="16"/>
      <c r="P117" s="16"/>
      <c r="Q117" s="16"/>
      <c r="R117" s="16"/>
      <c r="S117" s="16"/>
    </row>
    <row r="118" spans="1:20" ht="15.6" customHeight="1" x14ac:dyDescent="0.25">
      <c r="A118" s="26" t="s">
        <v>186</v>
      </c>
      <c r="B118" s="106" t="s">
        <v>191</v>
      </c>
      <c r="C118" s="100">
        <v>11.5</v>
      </c>
      <c r="D118" s="35">
        <v>0</v>
      </c>
      <c r="E118" s="35">
        <v>0</v>
      </c>
      <c r="F118" s="101"/>
      <c r="G118" s="124"/>
      <c r="H118" s="263">
        <f>11.5-I119-J119</f>
        <v>8.6986000000000008</v>
      </c>
      <c r="I118" s="35">
        <v>0</v>
      </c>
      <c r="J118" s="35">
        <v>0</v>
      </c>
      <c r="K118" s="264">
        <f>J118+I118</f>
        <v>0</v>
      </c>
      <c r="L118" s="284"/>
      <c r="M118" s="256"/>
      <c r="N118" s="220"/>
      <c r="O118" s="16"/>
      <c r="P118" s="16"/>
      <c r="Q118" s="16"/>
      <c r="R118" s="16"/>
      <c r="S118" s="16"/>
    </row>
    <row r="119" spans="1:20" ht="47.25" x14ac:dyDescent="0.25">
      <c r="A119" s="186" t="s">
        <v>123</v>
      </c>
      <c r="B119" s="185" t="s">
        <v>124</v>
      </c>
      <c r="C119" s="100"/>
      <c r="D119" s="35"/>
      <c r="E119" s="35"/>
      <c r="F119" s="101">
        <f>D119+E119</f>
        <v>0</v>
      </c>
      <c r="G119" s="124"/>
      <c r="H119" s="100"/>
      <c r="I119" s="91">
        <v>1.38</v>
      </c>
      <c r="J119" s="91">
        <f>1.38*1.03</f>
        <v>1.4214</v>
      </c>
      <c r="K119" s="101">
        <f>I119+J119</f>
        <v>2.8014000000000001</v>
      </c>
      <c r="L119" s="224"/>
      <c r="M119" s="222" t="s">
        <v>125</v>
      </c>
      <c r="N119" s="220" t="s">
        <v>126</v>
      </c>
      <c r="O119" s="16"/>
      <c r="P119" s="16"/>
      <c r="Q119" s="16"/>
      <c r="R119" s="16"/>
      <c r="S119" s="16"/>
    </row>
    <row r="120" spans="1:20" ht="15.6" customHeight="1" x14ac:dyDescent="0.25">
      <c r="A120" s="26" t="s">
        <v>186</v>
      </c>
      <c r="B120" s="106" t="s">
        <v>187</v>
      </c>
      <c r="C120" s="100">
        <v>2.1</v>
      </c>
      <c r="D120" s="35">
        <v>0</v>
      </c>
      <c r="E120" s="35">
        <v>0</v>
      </c>
      <c r="F120" s="101"/>
      <c r="G120" s="124"/>
      <c r="H120" s="263">
        <v>2.1</v>
      </c>
      <c r="I120" s="35">
        <v>0</v>
      </c>
      <c r="J120" s="35">
        <v>0</v>
      </c>
      <c r="K120" s="264">
        <f t="shared" ref="K120:K126" si="12">J120+I120</f>
        <v>0</v>
      </c>
      <c r="L120" s="284"/>
      <c r="M120" s="256"/>
      <c r="N120" s="220"/>
      <c r="O120" s="16"/>
      <c r="P120" s="16"/>
      <c r="Q120" s="16"/>
      <c r="R120" s="16"/>
      <c r="S120" s="16"/>
    </row>
    <row r="121" spans="1:20" ht="15.6" customHeight="1" x14ac:dyDescent="0.25">
      <c r="A121" s="26" t="s">
        <v>186</v>
      </c>
      <c r="B121" s="106" t="s">
        <v>187</v>
      </c>
      <c r="C121" s="100">
        <v>14.2</v>
      </c>
      <c r="D121" s="35">
        <v>0</v>
      </c>
      <c r="E121" s="35">
        <v>0</v>
      </c>
      <c r="F121" s="101"/>
      <c r="G121" s="124"/>
      <c r="H121" s="263">
        <v>14.2</v>
      </c>
      <c r="I121" s="35">
        <v>0</v>
      </c>
      <c r="J121" s="35">
        <v>0</v>
      </c>
      <c r="K121" s="264">
        <f t="shared" si="12"/>
        <v>0</v>
      </c>
      <c r="L121" s="284"/>
      <c r="M121" s="256"/>
      <c r="N121" s="220"/>
      <c r="O121" s="16"/>
      <c r="P121" s="16"/>
      <c r="Q121" s="16"/>
      <c r="R121" s="16"/>
      <c r="S121" s="16"/>
    </row>
    <row r="122" spans="1:20" ht="15.6" customHeight="1" x14ac:dyDescent="0.25">
      <c r="A122" s="26" t="s">
        <v>186</v>
      </c>
      <c r="B122" s="106" t="s">
        <v>192</v>
      </c>
      <c r="C122" s="100">
        <v>8.5</v>
      </c>
      <c r="D122" s="35">
        <v>0</v>
      </c>
      <c r="E122" s="35">
        <v>0</v>
      </c>
      <c r="F122" s="101"/>
      <c r="G122" s="124"/>
      <c r="H122" s="263">
        <v>8.5</v>
      </c>
      <c r="I122" s="35">
        <v>0</v>
      </c>
      <c r="J122" s="35">
        <v>0</v>
      </c>
      <c r="K122" s="264">
        <f t="shared" si="12"/>
        <v>0</v>
      </c>
      <c r="L122" s="284"/>
      <c r="M122" s="256"/>
      <c r="N122" s="220"/>
      <c r="O122" s="16"/>
      <c r="P122" s="16"/>
      <c r="Q122" s="16"/>
      <c r="R122" s="16"/>
      <c r="S122" s="16"/>
    </row>
    <row r="123" spans="1:20" ht="31.5" x14ac:dyDescent="0.25">
      <c r="A123" s="26" t="s">
        <v>35</v>
      </c>
      <c r="B123" s="106" t="s">
        <v>193</v>
      </c>
      <c r="C123" s="100">
        <v>6</v>
      </c>
      <c r="D123" s="35">
        <v>6.7519999999999998</v>
      </c>
      <c r="E123" s="35">
        <v>6.7519999999999998</v>
      </c>
      <c r="F123" s="101"/>
      <c r="G123" s="124"/>
      <c r="H123" s="263">
        <v>6</v>
      </c>
      <c r="I123" s="35">
        <v>6.7519999999999998</v>
      </c>
      <c r="J123" s="35">
        <v>6.7519999999999998</v>
      </c>
      <c r="K123" s="264">
        <f t="shared" si="12"/>
        <v>13.504</v>
      </c>
      <c r="L123" s="218" t="s">
        <v>194</v>
      </c>
      <c r="M123" s="239" t="s">
        <v>182</v>
      </c>
      <c r="N123" s="220"/>
      <c r="O123" s="16"/>
      <c r="P123" s="16"/>
      <c r="Q123" s="16"/>
      <c r="R123" s="16"/>
      <c r="S123" s="16"/>
    </row>
    <row r="124" spans="1:20" ht="31.5" x14ac:dyDescent="0.25">
      <c r="A124" s="26" t="s">
        <v>195</v>
      </c>
      <c r="B124" s="106" t="s">
        <v>196</v>
      </c>
      <c r="C124" s="100">
        <v>5.0999999999999996</v>
      </c>
      <c r="D124" s="35">
        <v>4.4689059999999996</v>
      </c>
      <c r="E124" s="35">
        <v>3.75</v>
      </c>
      <c r="F124" s="101"/>
      <c r="G124" s="124"/>
      <c r="H124" s="263">
        <v>5.0999999999999996</v>
      </c>
      <c r="I124" s="35">
        <v>4.4689059999999996</v>
      </c>
      <c r="J124" s="35">
        <v>3.75</v>
      </c>
      <c r="K124" s="264">
        <f t="shared" si="12"/>
        <v>8.2189060000000005</v>
      </c>
      <c r="L124" s="218" t="s">
        <v>197</v>
      </c>
      <c r="M124" s="239" t="s">
        <v>37</v>
      </c>
      <c r="N124" s="220"/>
      <c r="O124" s="16"/>
      <c r="P124" s="16"/>
      <c r="Q124" s="16"/>
      <c r="R124" s="16"/>
      <c r="S124" s="16"/>
    </row>
    <row r="125" spans="1:20" ht="15.75" x14ac:dyDescent="0.25">
      <c r="A125" s="26" t="s">
        <v>57</v>
      </c>
      <c r="B125" s="106" t="s">
        <v>59</v>
      </c>
      <c r="C125" s="100">
        <v>1</v>
      </c>
      <c r="D125" s="35">
        <v>0</v>
      </c>
      <c r="E125" s="35">
        <v>0</v>
      </c>
      <c r="F125" s="101"/>
      <c r="G125" s="124"/>
      <c r="H125" s="263">
        <v>1</v>
      </c>
      <c r="I125" s="35">
        <v>0</v>
      </c>
      <c r="J125" s="35">
        <v>0</v>
      </c>
      <c r="K125" s="264">
        <f t="shared" si="12"/>
        <v>0</v>
      </c>
      <c r="L125" s="258" t="s">
        <v>198</v>
      </c>
      <c r="M125" s="260"/>
      <c r="N125" s="261"/>
      <c r="O125" s="16"/>
      <c r="P125" s="16"/>
      <c r="Q125" s="16"/>
      <c r="R125" s="16"/>
      <c r="S125" s="16"/>
    </row>
    <row r="126" spans="1:20" ht="31.5" x14ac:dyDescent="0.25">
      <c r="A126" s="26" t="s">
        <v>57</v>
      </c>
      <c r="B126" s="106" t="s">
        <v>60</v>
      </c>
      <c r="C126" s="100">
        <v>1.3</v>
      </c>
      <c r="D126" s="35">
        <v>1.724987</v>
      </c>
      <c r="E126" s="35">
        <v>1.7767366100000002</v>
      </c>
      <c r="F126" s="101"/>
      <c r="G126" s="124"/>
      <c r="H126" s="263">
        <v>1.3</v>
      </c>
      <c r="I126" s="35">
        <v>1.724987</v>
      </c>
      <c r="J126" s="35">
        <v>1.7767366100000002</v>
      </c>
      <c r="K126" s="264">
        <f t="shared" si="12"/>
        <v>3.50172361</v>
      </c>
      <c r="L126" s="225" t="s">
        <v>199</v>
      </c>
      <c r="M126" s="257" t="s">
        <v>37</v>
      </c>
      <c r="N126" s="227"/>
      <c r="O126" s="16"/>
      <c r="P126" s="16"/>
      <c r="Q126" s="16"/>
      <c r="R126" s="16"/>
      <c r="S126" s="16"/>
    </row>
    <row r="127" spans="1:20" ht="20.25" customHeight="1" x14ac:dyDescent="0.25">
      <c r="B127" s="127" t="s">
        <v>200</v>
      </c>
      <c r="C127" s="131">
        <v>99.9</v>
      </c>
      <c r="D127" s="57">
        <v>46.6</v>
      </c>
      <c r="E127" s="57">
        <v>48.9</v>
      </c>
      <c r="F127" s="58"/>
      <c r="G127" s="80"/>
      <c r="H127" s="266">
        <v>99.9</v>
      </c>
      <c r="I127" s="88">
        <v>46.484999999999999</v>
      </c>
      <c r="J127" s="88">
        <v>48.75</v>
      </c>
      <c r="K127" s="267">
        <f>I127+J127</f>
        <v>95.234999999999999</v>
      </c>
      <c r="L127" s="92" t="s">
        <v>63</v>
      </c>
      <c r="M127" s="13"/>
      <c r="N127" s="13"/>
      <c r="O127" s="13"/>
      <c r="P127" s="13"/>
      <c r="Q127" s="13"/>
      <c r="R127" s="13"/>
      <c r="S127" s="13"/>
      <c r="T127" s="7"/>
    </row>
    <row r="128" spans="1:20" ht="31.5" x14ac:dyDescent="0.25">
      <c r="A128" s="15"/>
      <c r="B128" s="128" t="s">
        <v>201</v>
      </c>
      <c r="C128" s="132">
        <v>-6.6</v>
      </c>
      <c r="D128" s="59"/>
      <c r="E128" s="59"/>
      <c r="F128" s="60"/>
      <c r="G128" s="80"/>
      <c r="H128" s="268">
        <v>-6.6</v>
      </c>
      <c r="I128" s="59"/>
      <c r="J128" s="59"/>
      <c r="K128" s="269"/>
      <c r="L128" s="12"/>
      <c r="M128" s="13"/>
      <c r="N128" s="13"/>
      <c r="O128" s="13"/>
      <c r="P128" s="13"/>
      <c r="Q128" s="13"/>
      <c r="R128" s="13"/>
      <c r="S128" s="13"/>
      <c r="T128" s="7"/>
    </row>
    <row r="129" spans="1:20" ht="15.75" x14ac:dyDescent="0.25">
      <c r="A129" s="15"/>
      <c r="B129" s="128" t="s">
        <v>202</v>
      </c>
      <c r="C129" s="132">
        <f>SUM(C112:C126)</f>
        <v>99.899999999999991</v>
      </c>
      <c r="D129" s="59">
        <f>SUM(D112:D126)</f>
        <v>56.645893000000001</v>
      </c>
      <c r="E129" s="59">
        <f>SUM(E112:E126)</f>
        <v>50.008736610000007</v>
      </c>
      <c r="F129" s="60"/>
      <c r="G129" s="80"/>
      <c r="H129" s="268">
        <f>SUM(H112:H126)</f>
        <v>97.09859999999999</v>
      </c>
      <c r="I129" s="59">
        <f>SUM(I112:I126)</f>
        <v>61.525893000000003</v>
      </c>
      <c r="J129" s="59">
        <f>SUM(J112:J126)</f>
        <v>54.930136610000005</v>
      </c>
      <c r="K129" s="269"/>
      <c r="L129" s="12"/>
      <c r="M129" s="13"/>
      <c r="N129" s="13"/>
      <c r="O129" s="13"/>
      <c r="P129" s="13"/>
      <c r="Q129" s="13"/>
      <c r="R129" s="13"/>
      <c r="S129" s="13"/>
      <c r="T129" s="7"/>
    </row>
    <row r="130" spans="1:20" ht="31.5" x14ac:dyDescent="0.25">
      <c r="A130" s="15"/>
      <c r="B130" s="128" t="s">
        <v>203</v>
      </c>
      <c r="C130" s="132">
        <v>-75.3</v>
      </c>
      <c r="D130" s="59"/>
      <c r="E130" s="59"/>
      <c r="F130" s="60"/>
      <c r="G130" s="80"/>
      <c r="H130" s="268">
        <v>-75.3</v>
      </c>
      <c r="I130" s="59"/>
      <c r="J130" s="59"/>
      <c r="K130" s="269"/>
      <c r="L130" s="12" t="s">
        <v>293</v>
      </c>
      <c r="M130" s="13"/>
      <c r="N130" s="13"/>
      <c r="O130" s="13"/>
      <c r="P130" s="13"/>
      <c r="Q130" s="13"/>
      <c r="R130" s="13"/>
      <c r="S130" s="13"/>
      <c r="T130" s="7"/>
    </row>
    <row r="131" spans="1:20" ht="31.5" x14ac:dyDescent="0.25">
      <c r="A131" s="15"/>
      <c r="B131" s="128" t="s">
        <v>204</v>
      </c>
      <c r="C131" s="132"/>
      <c r="D131" s="59">
        <v>5</v>
      </c>
      <c r="E131" s="59"/>
      <c r="F131" s="60">
        <f>C131+D131+E131</f>
        <v>5</v>
      </c>
      <c r="G131" s="80"/>
      <c r="H131" s="268">
        <v>0</v>
      </c>
      <c r="I131" s="59">
        <v>5</v>
      </c>
      <c r="J131" s="59"/>
      <c r="K131" s="269"/>
      <c r="L131" s="12" t="s">
        <v>205</v>
      </c>
      <c r="M131" s="13"/>
      <c r="N131" s="13"/>
      <c r="O131" s="13"/>
      <c r="P131" s="13"/>
      <c r="Q131" s="13"/>
      <c r="R131" s="13"/>
      <c r="S131" s="13"/>
      <c r="T131" s="7"/>
    </row>
    <row r="132" spans="1:20" ht="32.25" thickBot="1" x14ac:dyDescent="0.3">
      <c r="A132" s="15"/>
      <c r="B132" s="129" t="s">
        <v>294</v>
      </c>
      <c r="C132" s="133">
        <f>C127+C128+C130</f>
        <v>18.000000000000014</v>
      </c>
      <c r="D132" s="61">
        <f>D127-D129-D131</f>
        <v>-15.045893</v>
      </c>
      <c r="E132" s="61">
        <f>E127-E129+E131</f>
        <v>-1.1087366100000082</v>
      </c>
      <c r="F132" s="62"/>
      <c r="G132" s="80"/>
      <c r="H132" s="270">
        <f>H127+H128+H130+H131</f>
        <v>18.000000000000014</v>
      </c>
      <c r="I132" s="271">
        <f>I127-I129-I131</f>
        <v>-20.040893000000004</v>
      </c>
      <c r="J132" s="271">
        <f>J127-J129+J131</f>
        <v>-6.1801366100000052</v>
      </c>
      <c r="K132" s="272"/>
      <c r="L132" s="29" t="s">
        <v>207</v>
      </c>
      <c r="M132" s="13"/>
      <c r="N132" s="13"/>
      <c r="O132" s="13"/>
      <c r="P132" s="13"/>
      <c r="Q132" s="13"/>
      <c r="R132" s="13"/>
      <c r="S132" s="13"/>
      <c r="T132" s="7"/>
    </row>
    <row r="133" spans="1:20" ht="31.5" x14ac:dyDescent="0.25">
      <c r="A133" s="15"/>
      <c r="B133" s="333" t="s">
        <v>208</v>
      </c>
      <c r="C133" s="334"/>
      <c r="D133" s="334">
        <f>D132+C132</f>
        <v>2.9541070000000147</v>
      </c>
      <c r="E133" s="334">
        <f>E132+D133</f>
        <v>1.8453703900000065</v>
      </c>
      <c r="F133" s="334"/>
      <c r="G133" s="80"/>
      <c r="H133" s="334"/>
      <c r="I133" s="334">
        <f>I132+H132</f>
        <v>-2.0408929999999899</v>
      </c>
      <c r="J133" s="334"/>
      <c r="K133" s="334"/>
      <c r="L133" s="29"/>
      <c r="M133" s="13"/>
      <c r="N133" s="13"/>
      <c r="O133" s="13"/>
      <c r="P133" s="13"/>
      <c r="Q133" s="13"/>
      <c r="R133" s="13"/>
      <c r="S133" s="13"/>
      <c r="T133" s="7"/>
    </row>
    <row r="134" spans="1:20" ht="16.5" thickBot="1" x14ac:dyDescent="0.3">
      <c r="A134" s="15"/>
      <c r="B134" s="15"/>
      <c r="C134" s="63"/>
      <c r="D134" s="63"/>
      <c r="E134" s="63"/>
      <c r="F134" s="63"/>
      <c r="G134" s="124"/>
      <c r="H134" s="63"/>
      <c r="I134" s="63"/>
      <c r="J134" s="63"/>
      <c r="K134" s="63"/>
      <c r="L134" s="15"/>
      <c r="M134" s="16"/>
      <c r="N134" s="16"/>
      <c r="O134" s="16"/>
      <c r="P134" s="16"/>
      <c r="Q134" s="16"/>
      <c r="R134" s="16"/>
      <c r="S134" s="16"/>
    </row>
    <row r="135" spans="1:20" ht="16.5" thickBot="1" x14ac:dyDescent="0.3">
      <c r="A135" s="662" t="s">
        <v>209</v>
      </c>
      <c r="B135" s="662"/>
      <c r="C135" s="663" t="s">
        <v>1</v>
      </c>
      <c r="D135" s="664"/>
      <c r="E135" s="664"/>
      <c r="F135" s="665"/>
      <c r="G135" s="159"/>
      <c r="H135" s="663" t="s">
        <v>178</v>
      </c>
      <c r="I135" s="664"/>
      <c r="J135" s="664"/>
      <c r="K135" s="665"/>
      <c r="L135" s="20"/>
      <c r="M135" s="21"/>
      <c r="N135" s="21"/>
      <c r="O135" s="16"/>
      <c r="P135" s="16"/>
      <c r="Q135" s="16"/>
      <c r="R135" s="16"/>
      <c r="S135" s="16"/>
    </row>
    <row r="136" spans="1:20" s="6" customFormat="1" ht="48" thickBot="1" x14ac:dyDescent="0.3">
      <c r="A136" s="10" t="s">
        <v>3</v>
      </c>
      <c r="B136" s="23" t="s">
        <v>4</v>
      </c>
      <c r="C136" s="290" t="s">
        <v>5</v>
      </c>
      <c r="D136" s="291" t="s">
        <v>6</v>
      </c>
      <c r="E136" s="291" t="s">
        <v>7</v>
      </c>
      <c r="F136" s="98" t="s">
        <v>8</v>
      </c>
      <c r="G136" s="83"/>
      <c r="H136" s="97" t="s">
        <v>5</v>
      </c>
      <c r="I136" s="33" t="s">
        <v>6</v>
      </c>
      <c r="J136" s="33" t="s">
        <v>7</v>
      </c>
      <c r="K136" s="98" t="s">
        <v>8</v>
      </c>
      <c r="L136" s="153" t="s">
        <v>9</v>
      </c>
      <c r="M136" s="213" t="s">
        <v>210</v>
      </c>
      <c r="N136" s="213" t="s">
        <v>211</v>
      </c>
      <c r="O136" s="14"/>
      <c r="P136" s="14"/>
      <c r="Q136" s="14"/>
      <c r="R136" s="14"/>
      <c r="S136" s="14"/>
    </row>
    <row r="137" spans="1:20" ht="47.25" x14ac:dyDescent="0.25">
      <c r="A137" s="31" t="s">
        <v>212</v>
      </c>
      <c r="B137" s="180" t="s">
        <v>213</v>
      </c>
      <c r="C137" s="292">
        <v>8.4</v>
      </c>
      <c r="D137" s="64">
        <v>8.1</v>
      </c>
      <c r="E137" s="64">
        <v>8.5</v>
      </c>
      <c r="F137" s="293">
        <f t="shared" ref="F137:F171" si="13">D137+E137</f>
        <v>16.600000000000001</v>
      </c>
      <c r="G137" s="81"/>
      <c r="H137" s="135">
        <v>8.4</v>
      </c>
      <c r="I137" s="64">
        <v>8.1</v>
      </c>
      <c r="J137" s="64">
        <v>8.5</v>
      </c>
      <c r="K137" s="136">
        <f t="shared" ref="K137:K148" si="14">SUM(I137:J137)</f>
        <v>16.600000000000001</v>
      </c>
      <c r="L137" s="273" t="s">
        <v>214</v>
      </c>
      <c r="M137" s="274" t="s">
        <v>182</v>
      </c>
      <c r="N137" s="217"/>
      <c r="O137" s="16"/>
      <c r="P137" s="16"/>
      <c r="Q137" s="16"/>
      <c r="R137" s="16"/>
      <c r="S137" s="16"/>
    </row>
    <row r="138" spans="1:20" ht="31.5" x14ac:dyDescent="0.25">
      <c r="A138" s="31" t="s">
        <v>212</v>
      </c>
      <c r="B138" s="180" t="s">
        <v>215</v>
      </c>
      <c r="C138" s="294">
        <v>5.8</v>
      </c>
      <c r="D138" s="64">
        <v>5.9</v>
      </c>
      <c r="E138" s="64">
        <v>6</v>
      </c>
      <c r="F138" s="293">
        <f t="shared" si="13"/>
        <v>11.9</v>
      </c>
      <c r="G138" s="81"/>
      <c r="H138" s="137">
        <v>5.8</v>
      </c>
      <c r="I138" s="64">
        <v>5.9</v>
      </c>
      <c r="J138" s="64">
        <v>6</v>
      </c>
      <c r="K138" s="136">
        <f t="shared" si="14"/>
        <v>11.9</v>
      </c>
      <c r="L138" s="249" t="s">
        <v>216</v>
      </c>
      <c r="M138" s="239" t="s">
        <v>182</v>
      </c>
      <c r="N138" s="220"/>
      <c r="O138" s="16"/>
      <c r="P138" s="16"/>
      <c r="Q138" s="16"/>
      <c r="R138" s="16"/>
      <c r="S138" s="16"/>
    </row>
    <row r="139" spans="1:20" ht="15.75" x14ac:dyDescent="0.25">
      <c r="A139" s="31" t="s">
        <v>212</v>
      </c>
      <c r="B139" s="180" t="s">
        <v>217</v>
      </c>
      <c r="C139" s="292">
        <v>18.100000000000001</v>
      </c>
      <c r="D139" s="64">
        <v>12.3</v>
      </c>
      <c r="E139" s="64">
        <v>12.6</v>
      </c>
      <c r="F139" s="293">
        <f t="shared" si="13"/>
        <v>24.9</v>
      </c>
      <c r="G139" s="81"/>
      <c r="H139" s="135">
        <v>18.100000000000001</v>
      </c>
      <c r="I139" s="64">
        <v>12.3</v>
      </c>
      <c r="J139" s="64">
        <v>12.6</v>
      </c>
      <c r="K139" s="136">
        <f t="shared" si="14"/>
        <v>24.9</v>
      </c>
      <c r="L139" s="249" t="s">
        <v>218</v>
      </c>
      <c r="M139" s="275" t="s">
        <v>182</v>
      </c>
      <c r="N139" s="220"/>
      <c r="O139" s="16"/>
      <c r="P139" s="16"/>
      <c r="Q139" s="16"/>
      <c r="R139" s="16"/>
      <c r="S139" s="16"/>
    </row>
    <row r="140" spans="1:20" ht="31.5" x14ac:dyDescent="0.25">
      <c r="A140" s="31" t="s">
        <v>212</v>
      </c>
      <c r="B140" s="180" t="s">
        <v>219</v>
      </c>
      <c r="C140" s="292">
        <v>1.8</v>
      </c>
      <c r="D140" s="64">
        <v>2.5</v>
      </c>
      <c r="E140" s="64">
        <v>2.6</v>
      </c>
      <c r="F140" s="293">
        <f t="shared" si="13"/>
        <v>5.0999999999999996</v>
      </c>
      <c r="G140" s="81"/>
      <c r="H140" s="135">
        <v>1.8</v>
      </c>
      <c r="I140" s="64">
        <v>2.5</v>
      </c>
      <c r="J140" s="64">
        <v>2.6</v>
      </c>
      <c r="K140" s="136">
        <f t="shared" si="14"/>
        <v>5.0999999999999996</v>
      </c>
      <c r="L140" s="276"/>
      <c r="M140" s="239" t="s">
        <v>182</v>
      </c>
      <c r="N140" s="220"/>
      <c r="O140" s="16"/>
      <c r="P140" s="16"/>
      <c r="Q140" s="16"/>
      <c r="R140" s="16"/>
      <c r="S140" s="16"/>
    </row>
    <row r="141" spans="1:20" ht="63" x14ac:dyDescent="0.25">
      <c r="A141" s="31" t="s">
        <v>220</v>
      </c>
      <c r="B141" s="180" t="s">
        <v>196</v>
      </c>
      <c r="C141" s="292">
        <v>1.3</v>
      </c>
      <c r="D141" s="64">
        <v>3.4</v>
      </c>
      <c r="E141" s="64">
        <v>4.4000000000000004</v>
      </c>
      <c r="F141" s="293">
        <f t="shared" si="13"/>
        <v>7.8000000000000007</v>
      </c>
      <c r="G141" s="81"/>
      <c r="H141" s="135">
        <v>1.3</v>
      </c>
      <c r="I141" s="64">
        <v>3.4</v>
      </c>
      <c r="J141" s="64">
        <v>4.4000000000000004</v>
      </c>
      <c r="K141" s="136">
        <f t="shared" si="14"/>
        <v>7.8000000000000007</v>
      </c>
      <c r="L141" s="249" t="s">
        <v>221</v>
      </c>
      <c r="M141" s="239" t="s">
        <v>182</v>
      </c>
      <c r="N141" s="220"/>
      <c r="O141" s="16"/>
      <c r="P141" s="16"/>
      <c r="Q141" s="16"/>
      <c r="R141" s="16"/>
      <c r="S141" s="16"/>
    </row>
    <row r="142" spans="1:20" ht="31.5" x14ac:dyDescent="0.25">
      <c r="A142" s="31" t="s">
        <v>220</v>
      </c>
      <c r="B142" s="180" t="s">
        <v>222</v>
      </c>
      <c r="C142" s="292">
        <v>13.3</v>
      </c>
      <c r="D142" s="64">
        <v>9.6</v>
      </c>
      <c r="E142" s="64">
        <v>9.9</v>
      </c>
      <c r="F142" s="293">
        <f t="shared" si="13"/>
        <v>19.5</v>
      </c>
      <c r="G142" s="81"/>
      <c r="H142" s="135">
        <v>13.3</v>
      </c>
      <c r="I142" s="64">
        <v>9.6</v>
      </c>
      <c r="J142" s="64">
        <v>9.9</v>
      </c>
      <c r="K142" s="136">
        <f t="shared" si="14"/>
        <v>19.5</v>
      </c>
      <c r="L142" s="249" t="s">
        <v>223</v>
      </c>
      <c r="M142" s="239" t="s">
        <v>182</v>
      </c>
      <c r="N142" s="220"/>
      <c r="O142" s="16"/>
      <c r="P142" s="16"/>
      <c r="Q142" s="16"/>
      <c r="R142" s="16"/>
      <c r="S142" s="16"/>
    </row>
    <row r="143" spans="1:20" ht="15.75" x14ac:dyDescent="0.25">
      <c r="A143" s="31" t="s">
        <v>220</v>
      </c>
      <c r="B143" s="180" t="s">
        <v>224</v>
      </c>
      <c r="C143" s="292">
        <v>0.5</v>
      </c>
      <c r="D143" s="64">
        <v>0.5</v>
      </c>
      <c r="E143" s="64">
        <v>0.5</v>
      </c>
      <c r="F143" s="293">
        <f t="shared" si="13"/>
        <v>1</v>
      </c>
      <c r="G143" s="81"/>
      <c r="H143" s="135">
        <v>0.5</v>
      </c>
      <c r="I143" s="64">
        <v>0.5</v>
      </c>
      <c r="J143" s="64">
        <v>0.5</v>
      </c>
      <c r="K143" s="136">
        <f t="shared" si="14"/>
        <v>1</v>
      </c>
      <c r="L143" s="249" t="s">
        <v>225</v>
      </c>
      <c r="M143" s="239" t="s">
        <v>182</v>
      </c>
      <c r="N143" s="220"/>
      <c r="O143" s="13"/>
      <c r="P143" s="16"/>
      <c r="Q143" s="16"/>
      <c r="R143" s="16"/>
      <c r="S143" s="16"/>
    </row>
    <row r="144" spans="1:20" ht="15.75" x14ac:dyDescent="0.25">
      <c r="A144" s="31" t="s">
        <v>226</v>
      </c>
      <c r="B144" s="180" t="s">
        <v>227</v>
      </c>
      <c r="C144" s="292">
        <v>8.9</v>
      </c>
      <c r="D144" s="64">
        <v>5.6</v>
      </c>
      <c r="E144" s="64">
        <v>5</v>
      </c>
      <c r="F144" s="293">
        <f t="shared" si="13"/>
        <v>10.6</v>
      </c>
      <c r="G144" s="81"/>
      <c r="H144" s="135">
        <v>8.9</v>
      </c>
      <c r="I144" s="64">
        <v>5.6</v>
      </c>
      <c r="J144" s="64">
        <v>5</v>
      </c>
      <c r="K144" s="136">
        <f t="shared" si="14"/>
        <v>10.6</v>
      </c>
      <c r="L144" s="277" t="s">
        <v>228</v>
      </c>
      <c r="M144" s="239" t="s">
        <v>182</v>
      </c>
      <c r="N144" s="220"/>
      <c r="O144" s="13"/>
      <c r="P144" s="16"/>
      <c r="Q144" s="16"/>
      <c r="R144" s="16"/>
      <c r="S144" s="16"/>
    </row>
    <row r="145" spans="1:19" ht="15.75" x14ac:dyDescent="0.25">
      <c r="A145" s="31" t="s">
        <v>226</v>
      </c>
      <c r="B145" s="180" t="s">
        <v>229</v>
      </c>
      <c r="C145" s="292">
        <v>0.75</v>
      </c>
      <c r="D145" s="64">
        <v>0.7</v>
      </c>
      <c r="E145" s="64">
        <v>0.8</v>
      </c>
      <c r="F145" s="293">
        <f t="shared" si="13"/>
        <v>1.5</v>
      </c>
      <c r="G145" s="81"/>
      <c r="H145" s="135">
        <v>0.75</v>
      </c>
      <c r="I145" s="64">
        <v>0.7</v>
      </c>
      <c r="J145" s="64">
        <v>0.8</v>
      </c>
      <c r="K145" s="136">
        <f t="shared" si="14"/>
        <v>1.5</v>
      </c>
      <c r="L145" s="675" t="s">
        <v>230</v>
      </c>
      <c r="M145" s="239" t="s">
        <v>182</v>
      </c>
      <c r="N145" s="220"/>
      <c r="O145" s="13"/>
      <c r="P145" s="16"/>
      <c r="Q145" s="16"/>
      <c r="R145" s="16"/>
      <c r="S145" s="16"/>
    </row>
    <row r="146" spans="1:19" ht="33.75" customHeight="1" x14ac:dyDescent="0.25">
      <c r="A146" s="31" t="s">
        <v>226</v>
      </c>
      <c r="B146" s="180" t="s">
        <v>231</v>
      </c>
      <c r="C146" s="292">
        <v>1</v>
      </c>
      <c r="D146" s="64">
        <v>0.9</v>
      </c>
      <c r="E146" s="64">
        <v>1</v>
      </c>
      <c r="F146" s="293">
        <f t="shared" si="13"/>
        <v>1.9</v>
      </c>
      <c r="G146" s="81"/>
      <c r="H146" s="135">
        <v>1</v>
      </c>
      <c r="I146" s="64">
        <v>0.9</v>
      </c>
      <c r="J146" s="64">
        <v>1</v>
      </c>
      <c r="K146" s="136">
        <f t="shared" si="14"/>
        <v>1.9</v>
      </c>
      <c r="L146" s="675"/>
      <c r="M146" s="239" t="s">
        <v>182</v>
      </c>
      <c r="N146" s="220"/>
      <c r="O146" s="13"/>
      <c r="P146" s="16"/>
      <c r="Q146" s="16"/>
      <c r="R146" s="16"/>
      <c r="S146" s="16"/>
    </row>
    <row r="147" spans="1:19" ht="31.5" x14ac:dyDescent="0.25">
      <c r="A147" s="31" t="s">
        <v>226</v>
      </c>
      <c r="B147" s="180" t="s">
        <v>232</v>
      </c>
      <c r="C147" s="292">
        <v>2</v>
      </c>
      <c r="D147" s="64">
        <v>2.1</v>
      </c>
      <c r="E147" s="64">
        <v>2.1</v>
      </c>
      <c r="F147" s="293">
        <f t="shared" si="13"/>
        <v>4.2</v>
      </c>
      <c r="G147" s="81"/>
      <c r="H147" s="135">
        <v>2</v>
      </c>
      <c r="I147" s="64">
        <v>2.1</v>
      </c>
      <c r="J147" s="64">
        <v>2.1</v>
      </c>
      <c r="K147" s="136">
        <f t="shared" si="14"/>
        <v>4.2</v>
      </c>
      <c r="L147" s="277" t="s">
        <v>233</v>
      </c>
      <c r="M147" s="239" t="s">
        <v>182</v>
      </c>
      <c r="N147" s="220"/>
      <c r="O147" s="13"/>
      <c r="P147" s="16"/>
      <c r="Q147" s="16"/>
      <c r="R147" s="16"/>
      <c r="S147" s="16"/>
    </row>
    <row r="148" spans="1:19" ht="78.75" x14ac:dyDescent="0.25">
      <c r="A148" s="283" t="s">
        <v>226</v>
      </c>
      <c r="B148" s="181" t="s">
        <v>295</v>
      </c>
      <c r="C148" s="292"/>
      <c r="D148" s="64"/>
      <c r="E148" s="64"/>
      <c r="F148" s="293">
        <f t="shared" si="13"/>
        <v>0</v>
      </c>
      <c r="G148" s="81"/>
      <c r="H148" s="135"/>
      <c r="I148" s="174"/>
      <c r="J148" s="174"/>
      <c r="K148" s="136">
        <f t="shared" si="14"/>
        <v>0</v>
      </c>
      <c r="L148" s="277"/>
      <c r="M148" s="214" t="s">
        <v>296</v>
      </c>
      <c r="N148" s="220"/>
      <c r="O148" s="13"/>
      <c r="P148" s="16"/>
      <c r="Q148" s="16"/>
      <c r="R148" s="16"/>
      <c r="S148" s="16"/>
    </row>
    <row r="149" spans="1:19" ht="15.75" x14ac:dyDescent="0.25">
      <c r="A149" s="337" t="s">
        <v>234</v>
      </c>
      <c r="B149" s="338" t="s">
        <v>235</v>
      </c>
      <c r="C149" s="339"/>
      <c r="D149" s="340">
        <v>4.2</v>
      </c>
      <c r="E149" s="340">
        <v>4.3</v>
      </c>
      <c r="F149" s="341">
        <f t="shared" si="13"/>
        <v>8.5</v>
      </c>
      <c r="G149" s="81"/>
      <c r="H149" s="135"/>
      <c r="I149" s="174"/>
      <c r="J149" s="174"/>
      <c r="K149" s="136"/>
      <c r="L149" s="277"/>
      <c r="M149" s="214"/>
      <c r="N149" s="220"/>
      <c r="O149" s="13"/>
      <c r="P149" s="16"/>
      <c r="Q149" s="16"/>
      <c r="R149" s="16"/>
      <c r="S149" s="16"/>
    </row>
    <row r="150" spans="1:19" s="348" customFormat="1" ht="15.75" customHeight="1" x14ac:dyDescent="0.25">
      <c r="A150" s="337" t="s">
        <v>234</v>
      </c>
      <c r="B150" s="338" t="s">
        <v>297</v>
      </c>
      <c r="C150" s="339">
        <v>5.2</v>
      </c>
      <c r="D150" s="340">
        <v>1.1000000000000001</v>
      </c>
      <c r="E150" s="340">
        <v>3.8</v>
      </c>
      <c r="F150" s="341">
        <f t="shared" si="13"/>
        <v>4.9000000000000004</v>
      </c>
      <c r="G150" s="342"/>
      <c r="H150" s="343">
        <v>5.2</v>
      </c>
      <c r="I150" s="340">
        <v>1.1000000000000001</v>
      </c>
      <c r="J150" s="340">
        <v>3.8</v>
      </c>
      <c r="K150" s="344">
        <f t="shared" ref="K150:K166" si="15">SUM(I150:J150)</f>
        <v>4.9000000000000004</v>
      </c>
      <c r="L150" s="276" t="s">
        <v>298</v>
      </c>
      <c r="M150" s="345" t="s">
        <v>182</v>
      </c>
      <c r="N150" s="346"/>
      <c r="O150" s="347"/>
      <c r="P150" s="206"/>
      <c r="Q150" s="347"/>
      <c r="R150" s="347"/>
      <c r="S150" s="347"/>
    </row>
    <row r="151" spans="1:19" s="348" customFormat="1" ht="15.75" x14ac:dyDescent="0.25">
      <c r="A151" s="337" t="s">
        <v>234</v>
      </c>
      <c r="B151" s="338" t="s">
        <v>237</v>
      </c>
      <c r="C151" s="339">
        <v>0.7</v>
      </c>
      <c r="D151" s="340">
        <v>0</v>
      </c>
      <c r="E151" s="340">
        <v>0.7</v>
      </c>
      <c r="F151" s="341">
        <f t="shared" si="13"/>
        <v>0.7</v>
      </c>
      <c r="G151" s="342"/>
      <c r="H151" s="343">
        <v>0.7</v>
      </c>
      <c r="I151" s="340">
        <v>0</v>
      </c>
      <c r="J151" s="340">
        <v>0.7</v>
      </c>
      <c r="K151" s="344">
        <f t="shared" si="15"/>
        <v>0.7</v>
      </c>
      <c r="L151" s="276" t="s">
        <v>299</v>
      </c>
      <c r="M151" s="345" t="s">
        <v>182</v>
      </c>
      <c r="N151" s="346"/>
      <c r="O151" s="347"/>
      <c r="P151" s="206"/>
      <c r="Q151" s="347"/>
      <c r="R151" s="347"/>
      <c r="S151" s="347"/>
    </row>
    <row r="152" spans="1:19" s="348" customFormat="1" ht="15.75" x14ac:dyDescent="0.25">
      <c r="A152" s="337" t="s">
        <v>234</v>
      </c>
      <c r="B152" s="338" t="s">
        <v>300</v>
      </c>
      <c r="C152" s="339">
        <v>4.9000000000000004</v>
      </c>
      <c r="D152" s="340">
        <v>4.2</v>
      </c>
      <c r="E152" s="340">
        <v>4.3</v>
      </c>
      <c r="F152" s="341">
        <f t="shared" si="13"/>
        <v>8.5</v>
      </c>
      <c r="G152" s="342"/>
      <c r="H152" s="343">
        <v>4.9000000000000004</v>
      </c>
      <c r="I152" s="340">
        <v>4.2</v>
      </c>
      <c r="J152" s="340">
        <v>4.3</v>
      </c>
      <c r="K152" s="344">
        <f t="shared" si="15"/>
        <v>8.5</v>
      </c>
      <c r="L152" s="276" t="s">
        <v>236</v>
      </c>
      <c r="M152" s="345" t="s">
        <v>182</v>
      </c>
      <c r="N152" s="346"/>
      <c r="O152" s="347"/>
      <c r="P152" s="347"/>
      <c r="Q152" s="347"/>
      <c r="R152" s="347"/>
      <c r="S152" s="347"/>
    </row>
    <row r="153" spans="1:19" s="348" customFormat="1" ht="15.75" x14ac:dyDescent="0.25">
      <c r="A153" s="337" t="s">
        <v>234</v>
      </c>
      <c r="B153" s="338" t="s">
        <v>239</v>
      </c>
      <c r="C153" s="339">
        <v>5.0999999999999996</v>
      </c>
      <c r="D153" s="340">
        <v>4.7</v>
      </c>
      <c r="E153" s="340">
        <v>4.9000000000000004</v>
      </c>
      <c r="F153" s="341">
        <f t="shared" si="13"/>
        <v>9.6000000000000014</v>
      </c>
      <c r="G153" s="342"/>
      <c r="H153" s="343">
        <v>5.0999999999999996</v>
      </c>
      <c r="I153" s="340">
        <v>4.7</v>
      </c>
      <c r="J153" s="340">
        <v>4.9000000000000004</v>
      </c>
      <c r="K153" s="344">
        <f t="shared" si="15"/>
        <v>9.6000000000000014</v>
      </c>
      <c r="L153" s="276" t="s">
        <v>240</v>
      </c>
      <c r="M153" s="345" t="s">
        <v>182</v>
      </c>
      <c r="N153" s="346"/>
      <c r="O153" s="347"/>
      <c r="P153" s="347"/>
      <c r="Q153" s="347"/>
      <c r="R153" s="347"/>
      <c r="S153" s="347"/>
    </row>
    <row r="154" spans="1:19" s="348" customFormat="1" ht="15.75" x14ac:dyDescent="0.25">
      <c r="A154" s="337" t="s">
        <v>234</v>
      </c>
      <c r="B154" s="338" t="s">
        <v>241</v>
      </c>
      <c r="C154" s="339">
        <v>1.8</v>
      </c>
      <c r="D154" s="340">
        <v>1.5</v>
      </c>
      <c r="E154" s="340">
        <v>1.6</v>
      </c>
      <c r="F154" s="341">
        <f t="shared" si="13"/>
        <v>3.1</v>
      </c>
      <c r="G154" s="342"/>
      <c r="H154" s="343">
        <v>1.8</v>
      </c>
      <c r="I154" s="340">
        <v>1.5</v>
      </c>
      <c r="J154" s="340">
        <v>1.6</v>
      </c>
      <c r="K154" s="344">
        <f t="shared" si="15"/>
        <v>3.1</v>
      </c>
      <c r="L154" s="276" t="s">
        <v>242</v>
      </c>
      <c r="M154" s="345" t="s">
        <v>182</v>
      </c>
      <c r="N154" s="346"/>
      <c r="O154" s="347"/>
      <c r="P154" s="347"/>
      <c r="Q154" s="347"/>
      <c r="R154" s="347"/>
      <c r="S154" s="347"/>
    </row>
    <row r="155" spans="1:19" s="348" customFormat="1" ht="15.75" x14ac:dyDescent="0.25">
      <c r="A155" s="337" t="s">
        <v>234</v>
      </c>
      <c r="B155" s="338" t="s">
        <v>243</v>
      </c>
      <c r="C155" s="339">
        <v>4.5999999999999996</v>
      </c>
      <c r="D155" s="340">
        <v>4.8</v>
      </c>
      <c r="E155" s="340">
        <v>5</v>
      </c>
      <c r="F155" s="341">
        <f t="shared" si="13"/>
        <v>9.8000000000000007</v>
      </c>
      <c r="G155" s="342"/>
      <c r="H155" s="343">
        <v>4.5999999999999996</v>
      </c>
      <c r="I155" s="340">
        <v>4.8</v>
      </c>
      <c r="J155" s="340">
        <v>5</v>
      </c>
      <c r="K155" s="344">
        <f t="shared" si="15"/>
        <v>9.8000000000000007</v>
      </c>
      <c r="L155" s="276" t="s">
        <v>244</v>
      </c>
      <c r="M155" s="345" t="s">
        <v>182</v>
      </c>
      <c r="N155" s="346"/>
      <c r="O155" s="347"/>
      <c r="P155" s="347"/>
      <c r="Q155" s="347"/>
      <c r="R155" s="347"/>
      <c r="S155" s="347"/>
    </row>
    <row r="156" spans="1:19" s="348" customFormat="1" ht="15.75" x14ac:dyDescent="0.25">
      <c r="A156" s="337" t="s">
        <v>234</v>
      </c>
      <c r="B156" s="338" t="s">
        <v>245</v>
      </c>
      <c r="C156" s="339">
        <v>2</v>
      </c>
      <c r="D156" s="340">
        <v>2.2000000000000002</v>
      </c>
      <c r="E156" s="340">
        <v>0</v>
      </c>
      <c r="F156" s="341">
        <f t="shared" si="13"/>
        <v>2.2000000000000002</v>
      </c>
      <c r="G156" s="342"/>
      <c r="H156" s="343">
        <v>2</v>
      </c>
      <c r="I156" s="340">
        <v>2.2000000000000002</v>
      </c>
      <c r="J156" s="340">
        <v>0</v>
      </c>
      <c r="K156" s="344">
        <f t="shared" si="15"/>
        <v>2.2000000000000002</v>
      </c>
      <c r="L156" s="320" t="s">
        <v>301</v>
      </c>
      <c r="M156" s="345" t="s">
        <v>182</v>
      </c>
      <c r="N156" s="346"/>
      <c r="O156" s="347"/>
      <c r="P156" s="347"/>
      <c r="Q156" s="347"/>
      <c r="R156" s="347"/>
      <c r="S156" s="347"/>
    </row>
    <row r="157" spans="1:19" s="348" customFormat="1" ht="31.5" x14ac:dyDescent="0.25">
      <c r="A157" s="337" t="s">
        <v>234</v>
      </c>
      <c r="B157" s="338" t="s">
        <v>246</v>
      </c>
      <c r="C157" s="339">
        <v>3.9</v>
      </c>
      <c r="D157" s="340">
        <v>3.6</v>
      </c>
      <c r="E157" s="340">
        <v>4.3</v>
      </c>
      <c r="F157" s="341">
        <f t="shared" si="13"/>
        <v>7.9</v>
      </c>
      <c r="G157" s="342"/>
      <c r="H157" s="343">
        <v>3.9</v>
      </c>
      <c r="I157" s="340">
        <v>3.6</v>
      </c>
      <c r="J157" s="340">
        <v>4.3</v>
      </c>
      <c r="K157" s="344">
        <f t="shared" si="15"/>
        <v>7.9</v>
      </c>
      <c r="L157" s="320" t="s">
        <v>247</v>
      </c>
      <c r="M157" s="345" t="s">
        <v>182</v>
      </c>
      <c r="N157" s="346"/>
      <c r="O157" s="347"/>
      <c r="P157" s="347"/>
      <c r="Q157" s="347"/>
      <c r="R157" s="347"/>
      <c r="S157" s="347"/>
    </row>
    <row r="158" spans="1:19" s="348" customFormat="1" ht="15.75" x14ac:dyDescent="0.25">
      <c r="A158" s="349" t="s">
        <v>234</v>
      </c>
      <c r="B158" s="338" t="s">
        <v>248</v>
      </c>
      <c r="C158" s="339">
        <v>0.1</v>
      </c>
      <c r="D158" s="340">
        <v>0.1</v>
      </c>
      <c r="E158" s="340">
        <v>0.1</v>
      </c>
      <c r="F158" s="341">
        <f t="shared" si="13"/>
        <v>0.2</v>
      </c>
      <c r="G158" s="342"/>
      <c r="H158" s="343">
        <v>0.1</v>
      </c>
      <c r="I158" s="340">
        <v>0.1</v>
      </c>
      <c r="J158" s="340">
        <v>0.1</v>
      </c>
      <c r="K158" s="344">
        <f t="shared" si="15"/>
        <v>0.2</v>
      </c>
      <c r="L158" s="276" t="s">
        <v>249</v>
      </c>
      <c r="M158" s="345" t="s">
        <v>182</v>
      </c>
      <c r="N158" s="346"/>
      <c r="O158" s="347"/>
      <c r="P158" s="347"/>
      <c r="Q158" s="347"/>
      <c r="R158" s="347"/>
      <c r="S158" s="347"/>
    </row>
    <row r="159" spans="1:19" s="348" customFormat="1" ht="15.75" x14ac:dyDescent="0.25">
      <c r="A159" s="349" t="s">
        <v>234</v>
      </c>
      <c r="B159" s="338" t="s">
        <v>250</v>
      </c>
      <c r="C159" s="339">
        <v>3.9</v>
      </c>
      <c r="D159" s="340">
        <v>1</v>
      </c>
      <c r="E159" s="340">
        <v>3.2</v>
      </c>
      <c r="F159" s="341">
        <f t="shared" si="13"/>
        <v>4.2</v>
      </c>
      <c r="G159" s="342"/>
      <c r="H159" s="343">
        <v>3.9</v>
      </c>
      <c r="I159" s="340">
        <v>1</v>
      </c>
      <c r="J159" s="340">
        <v>3.2</v>
      </c>
      <c r="K159" s="344">
        <f t="shared" si="15"/>
        <v>4.2</v>
      </c>
      <c r="L159" s="276" t="s">
        <v>251</v>
      </c>
      <c r="M159" s="345" t="s">
        <v>182</v>
      </c>
      <c r="N159" s="346"/>
      <c r="O159" s="347"/>
      <c r="P159" s="347"/>
      <c r="Q159" s="347"/>
      <c r="R159" s="347"/>
      <c r="S159" s="347"/>
    </row>
    <row r="160" spans="1:19" s="348" customFormat="1" ht="31.5" x14ac:dyDescent="0.25">
      <c r="A160" s="349" t="s">
        <v>234</v>
      </c>
      <c r="B160" s="338" t="s">
        <v>252</v>
      </c>
      <c r="C160" s="339">
        <v>0.6</v>
      </c>
      <c r="D160" s="340">
        <v>0.3</v>
      </c>
      <c r="E160" s="340">
        <v>0.3</v>
      </c>
      <c r="F160" s="341">
        <f t="shared" si="13"/>
        <v>0.6</v>
      </c>
      <c r="G160" s="342"/>
      <c r="H160" s="343">
        <v>0.6</v>
      </c>
      <c r="I160" s="340">
        <v>0.3</v>
      </c>
      <c r="J160" s="340">
        <v>0.3</v>
      </c>
      <c r="K160" s="344">
        <f t="shared" si="15"/>
        <v>0.6</v>
      </c>
      <c r="L160" s="276" t="s">
        <v>253</v>
      </c>
      <c r="M160" s="350" t="s">
        <v>182</v>
      </c>
      <c r="N160" s="346"/>
      <c r="O160" s="347"/>
      <c r="P160" s="347"/>
      <c r="Q160" s="347"/>
      <c r="R160" s="347"/>
      <c r="S160" s="347"/>
    </row>
    <row r="161" spans="1:19" s="348" customFormat="1" ht="15.75" x14ac:dyDescent="0.25">
      <c r="A161" s="349" t="s">
        <v>234</v>
      </c>
      <c r="B161" s="338" t="s">
        <v>302</v>
      </c>
      <c r="C161" s="339"/>
      <c r="D161" s="340">
        <v>4.7</v>
      </c>
      <c r="E161" s="340">
        <v>4.9000000000000004</v>
      </c>
      <c r="F161" s="341">
        <f t="shared" si="13"/>
        <v>9.6000000000000014</v>
      </c>
      <c r="G161" s="342"/>
      <c r="H161" s="343"/>
      <c r="I161" s="340">
        <v>4.7</v>
      </c>
      <c r="J161" s="340">
        <v>4.9000000000000004</v>
      </c>
      <c r="K161" s="344">
        <f t="shared" si="15"/>
        <v>9.6000000000000014</v>
      </c>
      <c r="L161" s="276" t="s">
        <v>255</v>
      </c>
      <c r="M161" s="345" t="s">
        <v>182</v>
      </c>
      <c r="N161" s="346"/>
      <c r="O161" s="347"/>
      <c r="P161" s="347"/>
      <c r="Q161" s="347"/>
      <c r="R161" s="347"/>
      <c r="S161" s="347"/>
    </row>
    <row r="162" spans="1:19" ht="47.25" x14ac:dyDescent="0.25">
      <c r="A162" s="175" t="s">
        <v>234</v>
      </c>
      <c r="B162" s="181" t="s">
        <v>302</v>
      </c>
      <c r="C162" s="294"/>
      <c r="D162" s="156">
        <v>0</v>
      </c>
      <c r="E162" s="64">
        <v>0</v>
      </c>
      <c r="F162" s="293">
        <f t="shared" si="13"/>
        <v>0</v>
      </c>
      <c r="G162" s="81"/>
      <c r="H162" s="135"/>
      <c r="I162" s="174">
        <v>4.7</v>
      </c>
      <c r="J162" s="174">
        <v>4.9000000000000004</v>
      </c>
      <c r="K162" s="136">
        <f t="shared" si="15"/>
        <v>9.6000000000000014</v>
      </c>
      <c r="L162" s="250"/>
      <c r="M162" s="233" t="s">
        <v>303</v>
      </c>
      <c r="N162" s="220"/>
      <c r="O162" s="16"/>
      <c r="P162" s="16"/>
      <c r="Q162" s="16"/>
      <c r="R162" s="16"/>
      <c r="S162" s="16"/>
    </row>
    <row r="163" spans="1:19" s="6" customFormat="1" ht="94.5" x14ac:dyDescent="0.25">
      <c r="A163" s="22" t="s">
        <v>258</v>
      </c>
      <c r="B163" s="177" t="s">
        <v>259</v>
      </c>
      <c r="C163" s="295"/>
      <c r="D163" s="65">
        <v>17.5</v>
      </c>
      <c r="E163" s="65">
        <v>0</v>
      </c>
      <c r="F163" s="293">
        <f t="shared" si="13"/>
        <v>17.5</v>
      </c>
      <c r="G163" s="81"/>
      <c r="H163" s="176"/>
      <c r="I163" s="174">
        <v>17.5</v>
      </c>
      <c r="J163" s="174">
        <v>0</v>
      </c>
      <c r="K163" s="136">
        <f t="shared" si="15"/>
        <v>17.5</v>
      </c>
      <c r="L163" s="278" t="s">
        <v>260</v>
      </c>
      <c r="M163" s="240" t="s">
        <v>304</v>
      </c>
      <c r="N163" s="279"/>
      <c r="O163" s="14"/>
      <c r="P163" s="14"/>
      <c r="Q163" s="14"/>
      <c r="R163" s="14"/>
      <c r="S163" s="14"/>
    </row>
    <row r="164" spans="1:19" s="6" customFormat="1" ht="31.5" x14ac:dyDescent="0.25">
      <c r="A164" s="22" t="s">
        <v>262</v>
      </c>
      <c r="B164" s="177" t="s">
        <v>263</v>
      </c>
      <c r="C164" s="295"/>
      <c r="D164" s="65">
        <v>4</v>
      </c>
      <c r="E164" s="65">
        <v>0</v>
      </c>
      <c r="F164" s="293">
        <f t="shared" si="13"/>
        <v>4</v>
      </c>
      <c r="G164" s="81"/>
      <c r="H164" s="176"/>
      <c r="I164" s="65">
        <v>4</v>
      </c>
      <c r="J164" s="65">
        <v>0</v>
      </c>
      <c r="K164" s="136">
        <f t="shared" si="15"/>
        <v>4</v>
      </c>
      <c r="L164" s="278" t="s">
        <v>264</v>
      </c>
      <c r="M164" s="280" t="s">
        <v>182</v>
      </c>
      <c r="N164" s="279"/>
      <c r="O164" s="14"/>
      <c r="P164" s="14"/>
      <c r="Q164" s="14"/>
      <c r="R164" s="14"/>
      <c r="S164" s="14"/>
    </row>
    <row r="165" spans="1:19" ht="30.75" customHeight="1" x14ac:dyDescent="0.25">
      <c r="A165" s="22" t="s">
        <v>57</v>
      </c>
      <c r="B165" s="180" t="s">
        <v>265</v>
      </c>
      <c r="C165" s="292">
        <v>8.1999999999999993</v>
      </c>
      <c r="D165" s="64">
        <v>6.9</v>
      </c>
      <c r="E165" s="64">
        <v>7.1</v>
      </c>
      <c r="F165" s="293">
        <f t="shared" si="13"/>
        <v>14</v>
      </c>
      <c r="G165" s="81"/>
      <c r="H165" s="135">
        <v>8.1999999999999993</v>
      </c>
      <c r="I165" s="64">
        <v>6.9</v>
      </c>
      <c r="J165" s="64">
        <v>7.1</v>
      </c>
      <c r="K165" s="136">
        <f t="shared" si="15"/>
        <v>14</v>
      </c>
      <c r="L165" s="249" t="s">
        <v>266</v>
      </c>
      <c r="M165" s="239" t="s">
        <v>182</v>
      </c>
      <c r="N165" s="220"/>
      <c r="O165" s="13"/>
      <c r="P165" s="16"/>
      <c r="Q165" s="16"/>
      <c r="R165" s="16"/>
      <c r="S165" s="16"/>
    </row>
    <row r="166" spans="1:19" s="6" customFormat="1" ht="110.25" x14ac:dyDescent="0.25">
      <c r="A166" s="22" t="s">
        <v>57</v>
      </c>
      <c r="B166" s="180" t="s">
        <v>267</v>
      </c>
      <c r="C166" s="295"/>
      <c r="D166" s="65">
        <v>2.2999999999999998</v>
      </c>
      <c r="E166" s="65"/>
      <c r="F166" s="293">
        <f t="shared" si="13"/>
        <v>2.2999999999999998</v>
      </c>
      <c r="G166" s="81"/>
      <c r="H166" s="176"/>
      <c r="I166" s="65">
        <v>2.2999999999999998</v>
      </c>
      <c r="J166" s="65">
        <v>0</v>
      </c>
      <c r="K166" s="136">
        <f t="shared" si="15"/>
        <v>2.2999999999999998</v>
      </c>
      <c r="L166" s="281" t="s">
        <v>268</v>
      </c>
      <c r="M166" s="282" t="s">
        <v>269</v>
      </c>
      <c r="N166" s="227" t="s">
        <v>270</v>
      </c>
      <c r="O166" s="14"/>
      <c r="P166" s="14"/>
      <c r="Q166" s="14"/>
      <c r="R166" s="14"/>
      <c r="S166" s="14"/>
    </row>
    <row r="167" spans="1:19" ht="31.5" x14ac:dyDescent="0.25">
      <c r="A167" s="16"/>
      <c r="B167" s="182" t="s">
        <v>271</v>
      </c>
      <c r="C167" s="296">
        <v>233.5</v>
      </c>
      <c r="D167" s="66">
        <v>77.7</v>
      </c>
      <c r="E167" s="66">
        <v>81.5</v>
      </c>
      <c r="F167" s="297">
        <f t="shared" si="13"/>
        <v>159.19999999999999</v>
      </c>
      <c r="G167" s="80"/>
      <c r="H167" s="139">
        <v>233.5</v>
      </c>
      <c r="I167" s="88">
        <v>77.400000000000006</v>
      </c>
      <c r="J167" s="88">
        <v>81.25</v>
      </c>
      <c r="K167" s="67">
        <f>I167+J167</f>
        <v>158.65</v>
      </c>
      <c r="L167" s="11" t="s">
        <v>63</v>
      </c>
      <c r="M167" s="16"/>
      <c r="N167" s="16"/>
      <c r="O167" s="16"/>
      <c r="P167" s="16"/>
      <c r="Q167" s="16"/>
      <c r="R167" s="16"/>
      <c r="S167" s="16"/>
    </row>
    <row r="168" spans="1:19" ht="15.75" x14ac:dyDescent="0.25">
      <c r="A168" s="16"/>
      <c r="B168" s="134" t="s">
        <v>272</v>
      </c>
      <c r="C168" s="298">
        <v>-10.3</v>
      </c>
      <c r="D168" s="68"/>
      <c r="E168" s="68"/>
      <c r="F168" s="297">
        <f t="shared" si="13"/>
        <v>0</v>
      </c>
      <c r="G168" s="80"/>
      <c r="H168" s="140">
        <v>-10.3</v>
      </c>
      <c r="I168" s="68"/>
      <c r="J168" s="68"/>
      <c r="K168" s="69"/>
      <c r="L168" s="16"/>
      <c r="M168" s="16"/>
      <c r="N168" s="16"/>
      <c r="O168" s="16"/>
      <c r="P168" s="16"/>
      <c r="Q168" s="16"/>
      <c r="R168" s="16"/>
      <c r="S168" s="16"/>
    </row>
    <row r="169" spans="1:19" ht="15.75" x14ac:dyDescent="0.25">
      <c r="A169" s="16"/>
      <c r="B169" s="134" t="s">
        <v>273</v>
      </c>
      <c r="C169" s="298">
        <f>SUM(C137:C166)</f>
        <v>102.84999999999998</v>
      </c>
      <c r="D169" s="68">
        <f>SUM(D137:D166)</f>
        <v>114.7</v>
      </c>
      <c r="E169" s="68">
        <f>SUM(E137:E166)</f>
        <v>97.899999999999991</v>
      </c>
      <c r="F169" s="297">
        <f t="shared" si="13"/>
        <v>212.6</v>
      </c>
      <c r="G169" s="80"/>
      <c r="H169" s="140">
        <f>SUM(H137:H165)</f>
        <v>102.84999999999998</v>
      </c>
      <c r="I169" s="68">
        <f>SUM(I137:I166)</f>
        <v>115.20000000000002</v>
      </c>
      <c r="J169" s="68">
        <f>SUM(J137:J166)</f>
        <v>98.499999999999986</v>
      </c>
      <c r="K169" s="69">
        <f>I169+J169</f>
        <v>213.7</v>
      </c>
      <c r="L169" s="16"/>
      <c r="M169" s="16"/>
      <c r="N169" s="16"/>
      <c r="O169" s="16"/>
      <c r="P169" s="16"/>
      <c r="Q169" s="16"/>
      <c r="R169" s="16"/>
      <c r="S169" s="16"/>
    </row>
    <row r="170" spans="1:19" ht="47.25" x14ac:dyDescent="0.25">
      <c r="A170" s="16"/>
      <c r="B170" s="134" t="s">
        <v>274</v>
      </c>
      <c r="C170" s="298">
        <v>-41.3</v>
      </c>
      <c r="D170" s="68"/>
      <c r="E170" s="68"/>
      <c r="F170" s="297">
        <f t="shared" si="13"/>
        <v>0</v>
      </c>
      <c r="G170" s="80"/>
      <c r="H170" s="140">
        <v>-41.3</v>
      </c>
      <c r="I170" s="68"/>
      <c r="J170" s="68"/>
      <c r="K170" s="69"/>
      <c r="L170" s="16" t="s">
        <v>275</v>
      </c>
      <c r="M170" s="16"/>
      <c r="N170" s="16"/>
      <c r="O170" s="16"/>
      <c r="P170" s="16"/>
      <c r="Q170" s="16"/>
      <c r="R170" s="16"/>
      <c r="S170" s="16"/>
    </row>
    <row r="171" spans="1:19" ht="15.75" x14ac:dyDescent="0.25">
      <c r="A171" s="16"/>
      <c r="B171" s="134" t="s">
        <v>276</v>
      </c>
      <c r="C171" s="298">
        <v>-15.5</v>
      </c>
      <c r="D171" s="68"/>
      <c r="E171" s="68"/>
      <c r="F171" s="297">
        <f t="shared" si="13"/>
        <v>0</v>
      </c>
      <c r="G171" s="80"/>
      <c r="H171" s="140">
        <v>-15.5</v>
      </c>
      <c r="I171" s="68"/>
      <c r="J171" s="68"/>
      <c r="K171" s="69"/>
      <c r="L171" s="16" t="s">
        <v>277</v>
      </c>
      <c r="M171" s="16"/>
      <c r="N171" s="16"/>
      <c r="O171" s="16"/>
      <c r="P171" s="16"/>
      <c r="Q171" s="16"/>
      <c r="R171" s="16"/>
      <c r="S171" s="16"/>
    </row>
    <row r="172" spans="1:19" ht="31.5" x14ac:dyDescent="0.25">
      <c r="A172" s="16"/>
      <c r="B172" s="134" t="s">
        <v>305</v>
      </c>
      <c r="C172" s="298">
        <f>C167+C168+C170+C171-C173</f>
        <v>44.199999999999974</v>
      </c>
      <c r="D172" s="68">
        <f>C172+D167-D169</f>
        <v>7.1999999999999744</v>
      </c>
      <c r="E172" s="68">
        <f>D172+E167-E169</f>
        <v>-9.2000000000000171</v>
      </c>
      <c r="F172" s="297"/>
      <c r="G172" s="80"/>
      <c r="H172" s="140">
        <f>H167+H168+H170+H171-H173</f>
        <v>44.199999999999974</v>
      </c>
      <c r="I172" s="68">
        <f>H172+I167-I169</f>
        <v>6.3999999999999631</v>
      </c>
      <c r="J172" s="68">
        <f>I172+J167-J169</f>
        <v>-10.850000000000023</v>
      </c>
      <c r="K172" s="69"/>
      <c r="L172" s="16" t="s">
        <v>279</v>
      </c>
      <c r="M172" s="16"/>
      <c r="N172" s="16"/>
      <c r="O172" s="16"/>
      <c r="P172" s="16"/>
      <c r="Q172" s="16"/>
      <c r="R172" s="16"/>
      <c r="S172" s="16"/>
    </row>
    <row r="173" spans="1:19" ht="32.25" thickBot="1" x14ac:dyDescent="0.3">
      <c r="A173" s="16"/>
      <c r="B173" s="183" t="s">
        <v>281</v>
      </c>
      <c r="C173" s="299">
        <f>122.2</f>
        <v>122.2</v>
      </c>
      <c r="D173" s="300">
        <v>17.5</v>
      </c>
      <c r="E173" s="300"/>
      <c r="F173" s="301"/>
      <c r="G173" s="80"/>
      <c r="H173" s="141">
        <v>122.2</v>
      </c>
      <c r="I173" s="70">
        <v>17.5</v>
      </c>
      <c r="J173" s="70"/>
      <c r="K173" s="71"/>
      <c r="L173" s="16" t="s">
        <v>282</v>
      </c>
      <c r="M173" s="16"/>
      <c r="N173" s="16"/>
      <c r="O173" s="16"/>
      <c r="P173" s="16"/>
      <c r="Q173" s="16"/>
      <c r="R173" s="16"/>
      <c r="S173" s="16"/>
    </row>
    <row r="174" spans="1:19" s="210" customFormat="1" ht="15.75" x14ac:dyDescent="0.25">
      <c r="A174" s="207"/>
      <c r="B174" s="207" t="s">
        <v>283</v>
      </c>
      <c r="C174" s="208"/>
      <c r="D174" s="208"/>
      <c r="E174" s="208"/>
      <c r="F174" s="208"/>
      <c r="G174" s="209"/>
      <c r="H174" s="208"/>
      <c r="I174" s="208"/>
      <c r="J174" s="208"/>
      <c r="K174" s="208"/>
      <c r="L174" s="207"/>
      <c r="M174" s="207"/>
      <c r="N174" s="207"/>
      <c r="O174" s="207"/>
      <c r="P174" s="207"/>
      <c r="Q174" s="207"/>
      <c r="R174" s="207"/>
      <c r="S174" s="207"/>
    </row>
    <row r="175" spans="1:19" s="210" customFormat="1" ht="15.75" x14ac:dyDescent="0.25">
      <c r="A175" s="207"/>
      <c r="B175" s="207"/>
      <c r="C175" s="208"/>
      <c r="D175" s="208"/>
      <c r="E175" s="208"/>
      <c r="F175" s="208"/>
      <c r="G175" s="209"/>
      <c r="H175" s="208"/>
      <c r="I175" s="208"/>
      <c r="J175" s="208"/>
      <c r="K175" s="208"/>
      <c r="L175" s="207"/>
      <c r="M175" s="207"/>
      <c r="N175" s="207"/>
      <c r="O175" s="207"/>
      <c r="P175" s="207"/>
      <c r="Q175" s="207"/>
      <c r="R175" s="207"/>
      <c r="S175" s="207"/>
    </row>
    <row r="176" spans="1:19" s="210" customFormat="1" x14ac:dyDescent="0.25">
      <c r="C176" s="211"/>
      <c r="D176" s="211"/>
      <c r="E176" s="211"/>
      <c r="F176" s="211"/>
      <c r="G176" s="212"/>
      <c r="H176" s="211"/>
      <c r="I176" s="211"/>
      <c r="J176" s="211"/>
      <c r="K176" s="211"/>
    </row>
    <row r="177" spans="1:19" s="210" customFormat="1" x14ac:dyDescent="0.25">
      <c r="C177" s="211" t="s">
        <v>306</v>
      </c>
      <c r="D177" s="211"/>
      <c r="E177" s="211"/>
      <c r="F177" s="211"/>
      <c r="G177" s="212"/>
      <c r="H177" s="289">
        <f>H11-H12</f>
        <v>0</v>
      </c>
      <c r="I177" s="211"/>
      <c r="J177" s="211"/>
      <c r="K177" s="211"/>
    </row>
    <row r="178" spans="1:19" s="210" customFormat="1" x14ac:dyDescent="0.25">
      <c r="C178" s="211"/>
      <c r="D178" s="211"/>
      <c r="E178" s="211"/>
      <c r="F178" s="211"/>
      <c r="G178" s="212"/>
      <c r="H178" s="289"/>
      <c r="I178" s="211"/>
      <c r="J178" s="211"/>
      <c r="K178" s="211"/>
    </row>
    <row r="179" spans="1:19" ht="31.5" x14ac:dyDescent="0.25">
      <c r="A179" s="16" t="s">
        <v>307</v>
      </c>
      <c r="B179" s="182" t="s">
        <v>271</v>
      </c>
      <c r="C179" s="296">
        <v>233.5</v>
      </c>
      <c r="D179" s="66">
        <v>77.7</v>
      </c>
      <c r="E179" s="66">
        <v>81.5</v>
      </c>
      <c r="F179" s="297"/>
      <c r="G179" s="80"/>
      <c r="H179" s="139">
        <v>233.5</v>
      </c>
      <c r="I179" s="88">
        <v>77.400000000000006</v>
      </c>
      <c r="J179" s="88">
        <v>81.25</v>
      </c>
      <c r="K179" s="67">
        <f>I179+J179</f>
        <v>158.65</v>
      </c>
      <c r="L179" s="11" t="s">
        <v>63</v>
      </c>
      <c r="M179" s="16"/>
      <c r="N179" s="16"/>
      <c r="O179" s="16"/>
      <c r="P179" s="16"/>
      <c r="Q179" s="16"/>
      <c r="R179" s="16"/>
      <c r="S179" s="16"/>
    </row>
    <row r="180" spans="1:19" ht="15.75" x14ac:dyDescent="0.25">
      <c r="A180" s="16"/>
      <c r="B180" s="325" t="s">
        <v>308</v>
      </c>
      <c r="C180" s="322">
        <v>-41.25</v>
      </c>
      <c r="D180" s="66"/>
      <c r="E180" s="66"/>
      <c r="F180" s="297"/>
      <c r="G180" s="80"/>
      <c r="H180" s="139"/>
      <c r="I180" s="88"/>
      <c r="J180" s="88"/>
      <c r="K180" s="67"/>
      <c r="L180" s="11"/>
      <c r="M180" s="16"/>
      <c r="N180" s="16"/>
      <c r="O180" s="16"/>
      <c r="P180" s="16"/>
      <c r="Q180" s="16"/>
      <c r="R180" s="16"/>
      <c r="S180" s="16"/>
    </row>
    <row r="181" spans="1:19" ht="15.75" x14ac:dyDescent="0.25">
      <c r="A181" s="16"/>
      <c r="B181" s="325" t="s">
        <v>309</v>
      </c>
      <c r="C181" s="322">
        <f>-122</f>
        <v>-122</v>
      </c>
      <c r="D181" s="66"/>
      <c r="E181" s="66"/>
      <c r="F181" s="297"/>
      <c r="G181" s="80"/>
      <c r="H181" s="139"/>
      <c r="I181" s="88"/>
      <c r="J181" s="88"/>
      <c r="K181" s="67"/>
      <c r="L181" s="11"/>
      <c r="M181" s="16"/>
      <c r="N181" s="16"/>
      <c r="O181" s="16"/>
      <c r="P181" s="16"/>
      <c r="Q181" s="16"/>
      <c r="R181" s="16"/>
      <c r="S181" s="16"/>
    </row>
    <row r="182" spans="1:19" ht="31.5" x14ac:dyDescent="0.25">
      <c r="A182" s="16"/>
      <c r="B182" s="182" t="s">
        <v>310</v>
      </c>
      <c r="C182" s="296">
        <f>70.3</f>
        <v>70.3</v>
      </c>
      <c r="D182" s="66"/>
      <c r="E182" s="66"/>
      <c r="F182" s="297"/>
      <c r="G182" s="80"/>
      <c r="H182" s="139">
        <v>233.5</v>
      </c>
      <c r="I182" s="88">
        <v>77.400000000000006</v>
      </c>
      <c r="J182" s="88">
        <v>81.25</v>
      </c>
      <c r="K182" s="67">
        <f>I182+J182</f>
        <v>158.65</v>
      </c>
      <c r="L182" s="11" t="s">
        <v>63</v>
      </c>
      <c r="M182" s="16"/>
      <c r="N182" s="16"/>
      <c r="O182" s="16"/>
      <c r="P182" s="16"/>
      <c r="Q182" s="16"/>
      <c r="R182" s="16"/>
      <c r="S182" s="16"/>
    </row>
    <row r="183" spans="1:19" ht="15.75" x14ac:dyDescent="0.25">
      <c r="A183" s="16"/>
      <c r="B183" s="324" t="s">
        <v>311</v>
      </c>
      <c r="C183" s="323">
        <v>-10.3</v>
      </c>
      <c r="D183" s="66"/>
      <c r="E183" s="66"/>
      <c r="F183" s="297"/>
      <c r="G183" s="80"/>
      <c r="H183" s="139"/>
      <c r="I183" s="88"/>
      <c r="J183" s="88"/>
      <c r="K183" s="67"/>
      <c r="L183" s="11"/>
      <c r="M183" s="16"/>
      <c r="N183" s="16"/>
      <c r="O183" s="16"/>
      <c r="P183" s="16"/>
      <c r="Q183" s="16"/>
      <c r="R183" s="16"/>
      <c r="S183" s="16"/>
    </row>
    <row r="184" spans="1:19" ht="15.75" x14ac:dyDescent="0.25">
      <c r="A184" s="16"/>
      <c r="B184" s="325" t="s">
        <v>312</v>
      </c>
      <c r="C184" s="322">
        <f>D185*-0.2</f>
        <v>-15.540000000000001</v>
      </c>
      <c r="D184" s="66"/>
      <c r="E184" s="66"/>
      <c r="F184" s="297"/>
      <c r="G184" s="80"/>
      <c r="H184" s="139"/>
      <c r="I184" s="88"/>
      <c r="J184" s="88"/>
      <c r="K184" s="67"/>
      <c r="L184" s="11"/>
      <c r="M184" s="16"/>
      <c r="N184" s="16"/>
      <c r="O184" s="16"/>
      <c r="P184" s="16"/>
      <c r="Q184" s="16"/>
      <c r="R184" s="16"/>
      <c r="S184" s="16"/>
    </row>
    <row r="185" spans="1:19" ht="31.5" x14ac:dyDescent="0.25">
      <c r="A185" s="16"/>
      <c r="B185" s="182" t="s">
        <v>313</v>
      </c>
      <c r="C185" s="296">
        <f>SUM(C182:C184)</f>
        <v>44.46</v>
      </c>
      <c r="D185" s="66">
        <v>77.7</v>
      </c>
      <c r="E185" s="66">
        <v>81.5</v>
      </c>
      <c r="F185" s="297">
        <f>D185+E185+C185</f>
        <v>203.66</v>
      </c>
      <c r="G185" s="80"/>
      <c r="H185" s="139">
        <v>233.5</v>
      </c>
      <c r="I185" s="88">
        <v>77.400000000000006</v>
      </c>
      <c r="J185" s="88">
        <v>81.25</v>
      </c>
      <c r="K185" s="67">
        <f>I185+J185</f>
        <v>158.65</v>
      </c>
      <c r="L185" s="11" t="s">
        <v>63</v>
      </c>
      <c r="M185" s="16"/>
      <c r="N185" s="16"/>
      <c r="O185" s="16"/>
      <c r="P185" s="16"/>
      <c r="Q185" s="16"/>
      <c r="R185" s="16"/>
      <c r="S185" s="16"/>
    </row>
    <row r="186" spans="1:19" ht="15.75" x14ac:dyDescent="0.25">
      <c r="A186" s="16"/>
      <c r="B186" s="182"/>
      <c r="C186" s="296"/>
      <c r="D186" s="66"/>
      <c r="E186" s="66"/>
      <c r="F186" s="297"/>
      <c r="G186" s="80"/>
      <c r="H186" s="139"/>
      <c r="I186" s="88"/>
      <c r="J186" s="88"/>
      <c r="K186" s="67"/>
      <c r="L186" s="11"/>
      <c r="M186" s="16"/>
      <c r="N186" s="16"/>
      <c r="O186" s="16"/>
      <c r="P186" s="16"/>
      <c r="Q186" s="16"/>
      <c r="R186" s="16"/>
      <c r="S186" s="16"/>
    </row>
    <row r="187" spans="1:19" ht="15.75" x14ac:dyDescent="0.25">
      <c r="A187" s="16"/>
      <c r="B187" s="134" t="s">
        <v>273</v>
      </c>
      <c r="C187" s="298"/>
      <c r="D187" s="68">
        <f>-SUM(D137:D166)</f>
        <v>-114.7</v>
      </c>
      <c r="E187" s="68">
        <f>-SUM(E137:E166)</f>
        <v>-97.899999999999991</v>
      </c>
      <c r="F187" s="297">
        <f>D187+E187</f>
        <v>-212.6</v>
      </c>
      <c r="G187" s="80"/>
      <c r="H187" s="140">
        <f>SUM(H150:H177)</f>
        <v>476.64999999999992</v>
      </c>
      <c r="I187" s="68">
        <f>SUM(I150:I182)</f>
        <v>434.9</v>
      </c>
      <c r="J187" s="68">
        <f>SUM(J150:J182)</f>
        <v>376.49999999999994</v>
      </c>
      <c r="K187" s="69">
        <f>I187+J187</f>
        <v>811.39999999999986</v>
      </c>
      <c r="L187" s="16"/>
      <c r="M187" s="16"/>
      <c r="N187" s="16"/>
      <c r="O187" s="16"/>
      <c r="P187" s="16"/>
      <c r="Q187" s="16"/>
      <c r="R187" s="16"/>
      <c r="S187" s="16"/>
    </row>
    <row r="188" spans="1:19" ht="15.75" x14ac:dyDescent="0.25">
      <c r="A188" s="16"/>
      <c r="B188" s="134"/>
      <c r="C188" s="298"/>
      <c r="D188" s="68"/>
      <c r="E188" s="68"/>
      <c r="F188" s="297"/>
      <c r="G188" s="80"/>
      <c r="H188" s="140"/>
      <c r="I188" s="68"/>
      <c r="J188" s="68"/>
      <c r="K188" s="69"/>
      <c r="L188" s="16"/>
      <c r="M188" s="16"/>
      <c r="N188" s="16"/>
      <c r="O188" s="16"/>
      <c r="P188" s="16"/>
      <c r="Q188" s="16"/>
      <c r="R188" s="16"/>
      <c r="S188" s="16"/>
    </row>
    <row r="189" spans="1:19" ht="15.75" x14ac:dyDescent="0.25">
      <c r="A189" s="16"/>
      <c r="B189" s="134" t="s">
        <v>314</v>
      </c>
      <c r="C189" s="298">
        <f>C185</f>
        <v>44.46</v>
      </c>
      <c r="D189" s="68">
        <f>D185-D187</f>
        <v>192.4</v>
      </c>
      <c r="E189" s="68">
        <f>E185-E187</f>
        <v>179.39999999999998</v>
      </c>
      <c r="F189" s="297"/>
      <c r="G189" s="80"/>
      <c r="H189" s="140"/>
      <c r="I189" s="68"/>
      <c r="J189" s="68"/>
      <c r="K189" s="69"/>
      <c r="L189" s="16"/>
      <c r="M189" s="16"/>
      <c r="N189" s="16"/>
      <c r="O189" s="16"/>
      <c r="P189" s="16"/>
      <c r="Q189" s="16"/>
      <c r="R189" s="16"/>
      <c r="S189" s="16"/>
    </row>
    <row r="190" spans="1:19" ht="15.75" x14ac:dyDescent="0.25">
      <c r="A190" s="16"/>
      <c r="B190" s="134" t="s">
        <v>315</v>
      </c>
      <c r="C190" s="298">
        <f>C185</f>
        <v>44.46</v>
      </c>
      <c r="D190" s="68">
        <f>D189+C190</f>
        <v>236.86</v>
      </c>
      <c r="E190" s="68">
        <f>E189+D190</f>
        <v>416.26</v>
      </c>
      <c r="F190" s="297"/>
      <c r="G190" s="80"/>
      <c r="H190" s="140"/>
      <c r="I190" s="68"/>
      <c r="J190" s="68"/>
      <c r="K190" s="69"/>
      <c r="L190" s="16"/>
      <c r="M190" s="16"/>
      <c r="N190" s="16"/>
      <c r="O190" s="16"/>
      <c r="P190" s="16"/>
      <c r="Q190" s="16"/>
      <c r="R190" s="16"/>
      <c r="S190" s="16"/>
    </row>
    <row r="191" spans="1:19" ht="15.75" x14ac:dyDescent="0.25">
      <c r="A191" s="16"/>
      <c r="B191" s="134"/>
      <c r="C191" s="298"/>
      <c r="D191" s="68"/>
      <c r="E191" s="68"/>
      <c r="F191" s="297"/>
      <c r="G191" s="80"/>
      <c r="H191" s="140"/>
      <c r="I191" s="68"/>
      <c r="J191" s="68"/>
      <c r="K191" s="69"/>
      <c r="L191" s="16"/>
      <c r="M191" s="16"/>
      <c r="N191" s="16"/>
      <c r="O191" s="16"/>
      <c r="P191" s="16"/>
      <c r="Q191" s="16"/>
      <c r="R191" s="16"/>
      <c r="S191" s="16"/>
    </row>
    <row r="192" spans="1:19" ht="32.25" thickBot="1" x14ac:dyDescent="0.3">
      <c r="A192" s="16"/>
      <c r="B192" s="183" t="s">
        <v>281</v>
      </c>
      <c r="C192" s="299">
        <f>122.2</f>
        <v>122.2</v>
      </c>
      <c r="D192" s="300">
        <v>17.5</v>
      </c>
      <c r="E192" s="300"/>
      <c r="F192" s="301"/>
      <c r="G192" s="80"/>
      <c r="H192" s="141">
        <v>122.2</v>
      </c>
      <c r="I192" s="70">
        <v>17.5</v>
      </c>
      <c r="J192" s="70"/>
      <c r="K192" s="71"/>
      <c r="L192" s="16" t="s">
        <v>282</v>
      </c>
      <c r="M192" s="16"/>
      <c r="N192" s="16"/>
      <c r="O192" s="16"/>
      <c r="P192" s="16"/>
      <c r="Q192" s="16"/>
      <c r="R192" s="16"/>
      <c r="S192" s="16"/>
    </row>
  </sheetData>
  <mergeCells count="20">
    <mergeCell ref="L86:L87"/>
    <mergeCell ref="M89:M92"/>
    <mergeCell ref="L145:L146"/>
    <mergeCell ref="L91:L92"/>
    <mergeCell ref="H1:K1"/>
    <mergeCell ref="H17:K17"/>
    <mergeCell ref="H42:K42"/>
    <mergeCell ref="H84:K84"/>
    <mergeCell ref="C62:F62"/>
    <mergeCell ref="H62:K62"/>
    <mergeCell ref="C17:F17"/>
    <mergeCell ref="C42:F42"/>
    <mergeCell ref="C1:F1"/>
    <mergeCell ref="C84:F84"/>
    <mergeCell ref="A110:B110"/>
    <mergeCell ref="C110:F110"/>
    <mergeCell ref="H110:K110"/>
    <mergeCell ref="A135:B135"/>
    <mergeCell ref="C135:F135"/>
    <mergeCell ref="H135:K135"/>
  </mergeCells>
  <pageMargins left="0.7" right="0.7" top="0.75" bottom="0.75" header="0.3" footer="0.3"/>
  <pageSetup paperSize="5" scale="30" fitToHeight="1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ED39-06C3-4731-883D-890A433A85B0}">
  <dimension ref="A1:M18"/>
  <sheetViews>
    <sheetView zoomScale="80" zoomScaleNormal="80" workbookViewId="0">
      <selection activeCell="L14" sqref="L14"/>
    </sheetView>
  </sheetViews>
  <sheetFormatPr defaultRowHeight="15" x14ac:dyDescent="0.25"/>
  <cols>
    <col min="1" max="1" width="8.140625" bestFit="1" customWidth="1"/>
    <col min="2" max="2" width="11.85546875" bestFit="1" customWidth="1"/>
    <col min="4" max="4" width="26.5703125" bestFit="1" customWidth="1"/>
    <col min="5" max="5" width="9.85546875" bestFit="1" customWidth="1"/>
    <col min="6" max="6" width="9.140625" bestFit="1" customWidth="1"/>
    <col min="7" max="7" width="13.140625" bestFit="1" customWidth="1"/>
    <col min="8" max="8" width="31.5703125" bestFit="1" customWidth="1"/>
    <col min="9" max="10" width="14.5703125" customWidth="1"/>
    <col min="11" max="11" width="19.140625" bestFit="1" customWidth="1"/>
    <col min="12" max="12" width="57.28515625" style="1" customWidth="1"/>
    <col min="13" max="13" width="48.28515625" bestFit="1" customWidth="1"/>
  </cols>
  <sheetData>
    <row r="1" spans="1:13" s="164" customFormat="1" x14ac:dyDescent="0.25">
      <c r="A1" s="162" t="s">
        <v>316</v>
      </c>
      <c r="B1" s="162" t="s">
        <v>317</v>
      </c>
      <c r="C1" s="162"/>
      <c r="D1" s="162" t="s">
        <v>318</v>
      </c>
      <c r="E1" s="162" t="s">
        <v>319</v>
      </c>
      <c r="F1" s="162"/>
      <c r="G1" s="162" t="s">
        <v>320</v>
      </c>
      <c r="H1" s="162" t="s">
        <v>321</v>
      </c>
      <c r="I1" s="162" t="s">
        <v>322</v>
      </c>
      <c r="J1" s="162" t="s">
        <v>323</v>
      </c>
      <c r="K1" s="162" t="s">
        <v>317</v>
      </c>
      <c r="L1" s="163" t="s">
        <v>324</v>
      </c>
      <c r="M1" s="162" t="s">
        <v>11</v>
      </c>
    </row>
    <row r="2" spans="1:13" s="168" customFormat="1" ht="30" x14ac:dyDescent="0.25">
      <c r="A2" s="142" t="s">
        <v>325</v>
      </c>
      <c r="B2" s="142" t="s">
        <v>326</v>
      </c>
      <c r="C2" s="142" t="s">
        <v>327</v>
      </c>
      <c r="D2" s="142" t="s">
        <v>0</v>
      </c>
      <c r="E2" s="142" t="s">
        <v>328</v>
      </c>
      <c r="F2" s="142" t="s">
        <v>329</v>
      </c>
      <c r="G2" s="142"/>
      <c r="H2" s="142" t="s">
        <v>330</v>
      </c>
      <c r="I2" s="165">
        <v>1</v>
      </c>
      <c r="J2" s="142" t="s">
        <v>331</v>
      </c>
      <c r="K2" s="142"/>
      <c r="L2" s="166" t="s">
        <v>332</v>
      </c>
      <c r="M2" s="166" t="s">
        <v>333</v>
      </c>
    </row>
    <row r="3" spans="1:13" s="168" customFormat="1" ht="75" x14ac:dyDescent="0.25">
      <c r="A3" s="169"/>
      <c r="B3" s="169" t="s">
        <v>334</v>
      </c>
      <c r="C3" s="169" t="s">
        <v>327</v>
      </c>
      <c r="D3" s="169" t="s">
        <v>335</v>
      </c>
      <c r="E3" s="169" t="s">
        <v>336</v>
      </c>
      <c r="F3" s="169" t="s">
        <v>329</v>
      </c>
      <c r="G3" s="169"/>
      <c r="H3" s="169" t="s">
        <v>29</v>
      </c>
      <c r="I3" s="170">
        <v>0.2</v>
      </c>
      <c r="J3" s="169" t="s">
        <v>331</v>
      </c>
      <c r="K3" s="169"/>
      <c r="L3" s="171" t="s">
        <v>337</v>
      </c>
      <c r="M3" s="171" t="s">
        <v>338</v>
      </c>
    </row>
    <row r="4" spans="1:13" s="168" customFormat="1" ht="75" x14ac:dyDescent="0.25">
      <c r="A4" s="169"/>
      <c r="B4" s="169" t="s">
        <v>334</v>
      </c>
      <c r="C4" s="169" t="s">
        <v>327</v>
      </c>
      <c r="D4" s="169" t="s">
        <v>335</v>
      </c>
      <c r="E4" s="169" t="s">
        <v>328</v>
      </c>
      <c r="F4" s="169" t="s">
        <v>339</v>
      </c>
      <c r="G4" s="169"/>
      <c r="H4" s="169" t="s">
        <v>32</v>
      </c>
      <c r="I4" s="172"/>
      <c r="J4" s="169" t="s">
        <v>331</v>
      </c>
      <c r="K4" s="169"/>
      <c r="L4" s="171" t="s">
        <v>340</v>
      </c>
      <c r="M4" s="169"/>
    </row>
    <row r="5" spans="1:13" ht="30" x14ac:dyDescent="0.25">
      <c r="A5" s="142"/>
      <c r="B5" s="142" t="s">
        <v>341</v>
      </c>
      <c r="C5" s="142" t="s">
        <v>327</v>
      </c>
      <c r="D5" s="142" t="s">
        <v>335</v>
      </c>
      <c r="E5" s="142" t="s">
        <v>328</v>
      </c>
      <c r="F5" s="142" t="s">
        <v>329</v>
      </c>
      <c r="G5" s="142">
        <v>60</v>
      </c>
      <c r="H5" s="142" t="s">
        <v>342</v>
      </c>
      <c r="I5" s="165">
        <v>2.4</v>
      </c>
      <c r="J5" s="142" t="s">
        <v>331</v>
      </c>
      <c r="K5" s="142" t="s">
        <v>32</v>
      </c>
      <c r="L5" s="166" t="s">
        <v>343</v>
      </c>
      <c r="M5" s="166" t="s">
        <v>344</v>
      </c>
    </row>
    <row r="6" spans="1:13" ht="45" x14ac:dyDescent="0.25">
      <c r="A6" s="142"/>
      <c r="B6" s="142" t="s">
        <v>345</v>
      </c>
      <c r="C6" s="142" t="s">
        <v>327</v>
      </c>
      <c r="D6" s="142" t="s">
        <v>346</v>
      </c>
      <c r="E6" s="142" t="s">
        <v>328</v>
      </c>
      <c r="F6" s="142" t="s">
        <v>329</v>
      </c>
      <c r="G6" s="142">
        <v>30</v>
      </c>
      <c r="H6" s="142" t="s">
        <v>342</v>
      </c>
      <c r="I6" s="165">
        <v>1.82</v>
      </c>
      <c r="J6" s="142" t="s">
        <v>331</v>
      </c>
      <c r="K6" s="142" t="s">
        <v>347</v>
      </c>
      <c r="L6" s="166" t="s">
        <v>348</v>
      </c>
      <c r="M6" s="142" t="s">
        <v>349</v>
      </c>
    </row>
    <row r="7" spans="1:13" ht="45" x14ac:dyDescent="0.25">
      <c r="A7" s="142"/>
      <c r="B7" s="142" t="s">
        <v>345</v>
      </c>
      <c r="C7" s="142" t="s">
        <v>327</v>
      </c>
      <c r="D7" s="142" t="s">
        <v>346</v>
      </c>
      <c r="E7" s="142" t="s">
        <v>350</v>
      </c>
      <c r="F7" s="142" t="s">
        <v>329</v>
      </c>
      <c r="G7" s="142">
        <v>30</v>
      </c>
      <c r="H7" s="142" t="s">
        <v>342</v>
      </c>
      <c r="I7" s="167">
        <v>1.82</v>
      </c>
      <c r="J7" s="142" t="s">
        <v>331</v>
      </c>
      <c r="K7" s="142" t="s">
        <v>351</v>
      </c>
      <c r="L7" s="166" t="s">
        <v>352</v>
      </c>
      <c r="M7" s="142" t="s">
        <v>353</v>
      </c>
    </row>
    <row r="8" spans="1:13" ht="45" x14ac:dyDescent="0.25">
      <c r="A8" s="142"/>
      <c r="B8" s="142" t="s">
        <v>341</v>
      </c>
      <c r="C8" s="142" t="s">
        <v>327</v>
      </c>
      <c r="D8" s="142" t="s">
        <v>346</v>
      </c>
      <c r="E8" s="142" t="s">
        <v>350</v>
      </c>
      <c r="F8" s="142" t="s">
        <v>329</v>
      </c>
      <c r="G8" s="142">
        <v>100</v>
      </c>
      <c r="H8" s="142" t="s">
        <v>354</v>
      </c>
      <c r="I8" s="165">
        <v>2</v>
      </c>
      <c r="J8" s="142" t="s">
        <v>331</v>
      </c>
      <c r="K8" s="142" t="s">
        <v>347</v>
      </c>
      <c r="L8" s="166" t="s">
        <v>355</v>
      </c>
      <c r="M8" s="166" t="s">
        <v>356</v>
      </c>
    </row>
    <row r="9" spans="1:13" ht="45" x14ac:dyDescent="0.25">
      <c r="A9" s="169"/>
      <c r="B9" s="169" t="s">
        <v>345</v>
      </c>
      <c r="C9" s="169"/>
      <c r="D9" s="169" t="s">
        <v>357</v>
      </c>
      <c r="E9" s="169"/>
      <c r="F9" s="169" t="s">
        <v>358</v>
      </c>
      <c r="G9" s="169"/>
      <c r="H9" s="169" t="s">
        <v>359</v>
      </c>
      <c r="I9" s="172"/>
      <c r="J9" s="169"/>
      <c r="K9" s="169"/>
      <c r="L9" s="171" t="s">
        <v>360</v>
      </c>
      <c r="M9" s="169"/>
    </row>
    <row r="10" spans="1:13" ht="60" x14ac:dyDescent="0.25">
      <c r="A10" s="362"/>
      <c r="B10" s="362" t="s">
        <v>361</v>
      </c>
      <c r="C10" s="362" t="s">
        <v>327</v>
      </c>
      <c r="D10" s="362" t="s">
        <v>362</v>
      </c>
      <c r="E10" s="362" t="s">
        <v>328</v>
      </c>
      <c r="F10" s="362" t="s">
        <v>329</v>
      </c>
      <c r="G10" s="362"/>
      <c r="H10" s="362" t="s">
        <v>363</v>
      </c>
      <c r="I10" s="363">
        <v>2.5</v>
      </c>
      <c r="J10" s="362" t="s">
        <v>331</v>
      </c>
      <c r="K10" s="364" t="s">
        <v>364</v>
      </c>
      <c r="L10" s="364" t="s">
        <v>365</v>
      </c>
      <c r="M10" s="142" t="s">
        <v>366</v>
      </c>
    </row>
    <row r="11" spans="1:13" ht="75" x14ac:dyDescent="0.25">
      <c r="A11" s="142"/>
      <c r="B11" s="142" t="s">
        <v>345</v>
      </c>
      <c r="C11" s="142" t="s">
        <v>367</v>
      </c>
      <c r="D11" s="142" t="s">
        <v>362</v>
      </c>
      <c r="E11" s="142"/>
      <c r="F11" s="142"/>
      <c r="G11" s="142"/>
      <c r="H11" s="142"/>
      <c r="I11" s="165"/>
      <c r="J11" s="142"/>
      <c r="K11" s="142"/>
      <c r="L11" s="166" t="s">
        <v>368</v>
      </c>
      <c r="M11" s="166"/>
    </row>
    <row r="12" spans="1:13" ht="75" x14ac:dyDescent="0.25">
      <c r="A12" s="142"/>
      <c r="B12" s="142" t="s">
        <v>341</v>
      </c>
      <c r="C12" s="142" t="s">
        <v>327</v>
      </c>
      <c r="D12" s="142" t="s">
        <v>362</v>
      </c>
      <c r="E12" s="142" t="s">
        <v>328</v>
      </c>
      <c r="F12" s="142" t="s">
        <v>329</v>
      </c>
      <c r="G12" s="367">
        <v>50</v>
      </c>
      <c r="H12" s="142" t="s">
        <v>234</v>
      </c>
      <c r="I12" s="365">
        <v>3.5</v>
      </c>
      <c r="J12" s="142" t="s">
        <v>331</v>
      </c>
      <c r="K12" s="142" t="s">
        <v>347</v>
      </c>
      <c r="L12" s="366" t="s">
        <v>257</v>
      </c>
      <c r="M12" s="142"/>
    </row>
    <row r="13" spans="1:13" ht="30" x14ac:dyDescent="0.25">
      <c r="A13" s="142"/>
      <c r="B13" s="357"/>
      <c r="C13" s="357" t="s">
        <v>327</v>
      </c>
      <c r="D13" s="357" t="s">
        <v>362</v>
      </c>
      <c r="E13" s="357" t="s">
        <v>328</v>
      </c>
      <c r="F13" s="357"/>
      <c r="G13" s="368"/>
      <c r="H13" s="357"/>
      <c r="I13" s="369"/>
      <c r="J13" s="357"/>
      <c r="K13" s="357"/>
      <c r="L13" s="360" t="s">
        <v>369</v>
      </c>
      <c r="M13" s="357"/>
    </row>
    <row r="14" spans="1:13" ht="45" x14ac:dyDescent="0.25">
      <c r="A14" s="142"/>
      <c r="B14" s="357" t="s">
        <v>341</v>
      </c>
      <c r="C14" s="357" t="s">
        <v>327</v>
      </c>
      <c r="D14" s="360" t="s">
        <v>370</v>
      </c>
      <c r="E14" s="357" t="s">
        <v>328</v>
      </c>
      <c r="F14" s="357" t="s">
        <v>329</v>
      </c>
      <c r="G14" s="357">
        <v>100</v>
      </c>
      <c r="H14" s="357" t="s">
        <v>48</v>
      </c>
      <c r="I14" s="358">
        <v>1.38</v>
      </c>
      <c r="J14" s="357" t="s">
        <v>371</v>
      </c>
      <c r="K14" s="357"/>
      <c r="L14" s="360" t="s">
        <v>372</v>
      </c>
      <c r="M14" s="359" t="s">
        <v>373</v>
      </c>
    </row>
    <row r="15" spans="1:13" s="319" customFormat="1" ht="60" x14ac:dyDescent="0.25">
      <c r="A15" s="317" t="s">
        <v>374</v>
      </c>
      <c r="B15" s="318" t="s">
        <v>361</v>
      </c>
      <c r="C15" s="318" t="s">
        <v>327</v>
      </c>
      <c r="D15" s="316" t="s">
        <v>370</v>
      </c>
      <c r="E15" s="318" t="s">
        <v>328</v>
      </c>
      <c r="F15" s="318" t="s">
        <v>329</v>
      </c>
      <c r="G15" s="318" t="s">
        <v>374</v>
      </c>
      <c r="H15" s="316" t="s">
        <v>291</v>
      </c>
      <c r="I15" s="356">
        <v>1</v>
      </c>
      <c r="J15" s="318" t="s">
        <v>331</v>
      </c>
      <c r="K15" s="316" t="s">
        <v>375</v>
      </c>
      <c r="L15" s="316" t="s">
        <v>376</v>
      </c>
      <c r="M15" s="318" t="s">
        <v>374</v>
      </c>
    </row>
    <row r="16" spans="1:13" s="355" customFormat="1" ht="42.75" customHeight="1" x14ac:dyDescent="0.25">
      <c r="A16" s="351"/>
      <c r="B16" s="352" t="s">
        <v>377</v>
      </c>
      <c r="C16" s="352" t="s">
        <v>327</v>
      </c>
      <c r="D16" s="353" t="s">
        <v>370</v>
      </c>
      <c r="E16" s="352" t="s">
        <v>328</v>
      </c>
      <c r="F16" s="352" t="s">
        <v>329</v>
      </c>
      <c r="G16" s="352"/>
      <c r="H16" s="353" t="s">
        <v>288</v>
      </c>
      <c r="I16" s="354">
        <v>1.75</v>
      </c>
      <c r="J16" s="352" t="s">
        <v>331</v>
      </c>
      <c r="K16" s="353"/>
      <c r="L16" s="353" t="s">
        <v>378</v>
      </c>
      <c r="M16" s="361" t="s">
        <v>379</v>
      </c>
    </row>
    <row r="17" spans="1:13" ht="45" x14ac:dyDescent="0.25">
      <c r="A17" s="142" t="s">
        <v>325</v>
      </c>
      <c r="B17" s="142" t="s">
        <v>341</v>
      </c>
      <c r="C17" s="142" t="s">
        <v>327</v>
      </c>
      <c r="D17" s="142" t="s">
        <v>380</v>
      </c>
      <c r="E17" s="142" t="s">
        <v>328</v>
      </c>
      <c r="F17" s="142" t="s">
        <v>329</v>
      </c>
      <c r="G17" s="142">
        <v>20</v>
      </c>
      <c r="H17" s="142" t="s">
        <v>381</v>
      </c>
      <c r="I17" s="165">
        <v>1.2</v>
      </c>
      <c r="J17" s="142" t="s">
        <v>382</v>
      </c>
      <c r="K17" s="166" t="s">
        <v>383</v>
      </c>
      <c r="L17" s="166" t="s">
        <v>384</v>
      </c>
      <c r="M17" s="142"/>
    </row>
    <row r="18" spans="1:13" ht="105.75" customHeight="1" x14ac:dyDescent="0.25">
      <c r="A18" s="142" t="s">
        <v>325</v>
      </c>
      <c r="B18" s="142" t="s">
        <v>345</v>
      </c>
      <c r="C18" s="142" t="s">
        <v>367</v>
      </c>
      <c r="D18" s="142" t="s">
        <v>380</v>
      </c>
      <c r="E18" s="142"/>
      <c r="F18" s="142"/>
      <c r="G18" s="142"/>
      <c r="H18" s="142"/>
      <c r="I18" s="165"/>
      <c r="J18" s="142"/>
      <c r="K18" s="142"/>
      <c r="L18" s="166" t="s">
        <v>385</v>
      </c>
      <c r="M18" s="142"/>
    </row>
  </sheetData>
  <autoFilter ref="A1:M18" xr:uid="{74AFED39-06C3-4731-883D-890A433A85B0}">
    <sortState xmlns:xlrd2="http://schemas.microsoft.com/office/spreadsheetml/2017/richdata2" ref="A2:M18">
      <sortCondition ref="D1:D18"/>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0234F-9F78-40DF-90F3-A5B23FBC21A1}">
  <dimension ref="A1:G35"/>
  <sheetViews>
    <sheetView workbookViewId="0">
      <selection activeCell="B26" sqref="B26"/>
    </sheetView>
  </sheetViews>
  <sheetFormatPr defaultRowHeight="15" x14ac:dyDescent="0.25"/>
  <cols>
    <col min="2" max="2" width="38.42578125" customWidth="1"/>
    <col min="5" max="5" width="33.140625" customWidth="1"/>
    <col min="6" max="7" width="9.140625" style="382"/>
  </cols>
  <sheetData>
    <row r="1" spans="1:5" x14ac:dyDescent="0.25">
      <c r="A1" s="382"/>
      <c r="B1" s="382"/>
      <c r="C1" s="382"/>
      <c r="D1" s="382"/>
      <c r="E1" s="382"/>
    </row>
    <row r="2" spans="1:5" x14ac:dyDescent="0.25">
      <c r="A2" s="382"/>
      <c r="B2" s="382" t="s">
        <v>443</v>
      </c>
      <c r="C2" s="382"/>
      <c r="D2" s="382"/>
      <c r="E2" s="382"/>
    </row>
    <row r="3" spans="1:5" x14ac:dyDescent="0.25">
      <c r="A3" s="382"/>
      <c r="B3" s="370" t="s">
        <v>390</v>
      </c>
      <c r="C3" s="370" t="s">
        <v>328</v>
      </c>
      <c r="D3" s="370" t="s">
        <v>350</v>
      </c>
      <c r="E3" s="370" t="s">
        <v>391</v>
      </c>
    </row>
    <row r="4" spans="1:5" x14ac:dyDescent="0.25">
      <c r="A4" s="382"/>
      <c r="B4" s="371" t="s">
        <v>0</v>
      </c>
      <c r="C4" s="372">
        <v>3.5</v>
      </c>
      <c r="D4" s="372">
        <v>3.5</v>
      </c>
      <c r="E4" s="371" t="s">
        <v>397</v>
      </c>
    </row>
    <row r="5" spans="1:5" x14ac:dyDescent="0.25">
      <c r="A5" s="382"/>
      <c r="B5" s="142" t="s">
        <v>401</v>
      </c>
      <c r="C5" s="165">
        <v>309.89999999999998</v>
      </c>
      <c r="D5" s="165">
        <v>325</v>
      </c>
      <c r="E5" s="142"/>
    </row>
    <row r="6" spans="1:5" x14ac:dyDescent="0.25">
      <c r="A6" s="382"/>
      <c r="B6" s="143" t="s">
        <v>387</v>
      </c>
      <c r="C6" s="173">
        <f>C5*0.5</f>
        <v>154.94999999999999</v>
      </c>
      <c r="D6" s="173">
        <f>D5*0.5</f>
        <v>162.5</v>
      </c>
      <c r="E6" s="143" t="s">
        <v>393</v>
      </c>
    </row>
    <row r="7" spans="1:5" x14ac:dyDescent="0.25">
      <c r="A7" s="382"/>
      <c r="B7" s="373" t="s">
        <v>335</v>
      </c>
      <c r="C7" s="374">
        <f>C6*0.55</f>
        <v>85.222499999999997</v>
      </c>
      <c r="D7" s="374">
        <f>D6*0.55</f>
        <v>89.375000000000014</v>
      </c>
      <c r="E7" s="375" t="s">
        <v>398</v>
      </c>
    </row>
    <row r="8" spans="1:5" x14ac:dyDescent="0.25">
      <c r="A8" s="382"/>
      <c r="B8" s="373" t="s">
        <v>346</v>
      </c>
      <c r="C8" s="374">
        <f>C6*0.25</f>
        <v>38.737499999999997</v>
      </c>
      <c r="D8" s="374">
        <f>D6*0.25</f>
        <v>40.625</v>
      </c>
      <c r="E8" s="375" t="s">
        <v>399</v>
      </c>
    </row>
    <row r="9" spans="1:5" x14ac:dyDescent="0.25">
      <c r="A9" s="382"/>
      <c r="B9" s="373" t="s">
        <v>392</v>
      </c>
      <c r="C9" s="374">
        <f>C6*0.2</f>
        <v>30.99</v>
      </c>
      <c r="D9" s="374">
        <f>D6*0.2</f>
        <v>32.5</v>
      </c>
      <c r="E9" s="375" t="s">
        <v>400</v>
      </c>
    </row>
    <row r="10" spans="1:5" x14ac:dyDescent="0.25">
      <c r="A10" s="382"/>
      <c r="B10" s="376" t="s">
        <v>386</v>
      </c>
      <c r="C10" s="377">
        <f>C5*0.25</f>
        <v>77.474999999999994</v>
      </c>
      <c r="D10" s="377">
        <f>D5*0.25</f>
        <v>81.25</v>
      </c>
      <c r="E10" s="376" t="s">
        <v>394</v>
      </c>
    </row>
    <row r="11" spans="1:5" x14ac:dyDescent="0.25">
      <c r="A11" s="382"/>
      <c r="B11" s="378" t="s">
        <v>388</v>
      </c>
      <c r="C11" s="379">
        <f>C5*0.15</f>
        <v>46.484999999999992</v>
      </c>
      <c r="D11" s="379">
        <f>D5*0.15</f>
        <v>48.75</v>
      </c>
      <c r="E11" s="378" t="s">
        <v>395</v>
      </c>
    </row>
    <row r="12" spans="1:5" x14ac:dyDescent="0.25">
      <c r="A12" s="382"/>
      <c r="B12" s="380" t="s">
        <v>389</v>
      </c>
      <c r="C12" s="381">
        <f>C5*0.1</f>
        <v>30.99</v>
      </c>
      <c r="D12" s="381">
        <f>D5*0.1</f>
        <v>32.5</v>
      </c>
      <c r="E12" s="380" t="s">
        <v>396</v>
      </c>
    </row>
    <row r="13" spans="1:5" s="382" customFormat="1" x14ac:dyDescent="0.25"/>
    <row r="14" spans="1:5" s="382" customFormat="1" x14ac:dyDescent="0.25"/>
    <row r="15" spans="1:5" s="382" customFormat="1" x14ac:dyDescent="0.25"/>
    <row r="16" spans="1:5" s="382" customFormat="1" x14ac:dyDescent="0.25"/>
    <row r="17" spans="2:5" s="382" customFormat="1" x14ac:dyDescent="0.25"/>
    <row r="18" spans="2:5" s="382" customFormat="1" x14ac:dyDescent="0.25"/>
    <row r="19" spans="2:5" s="382" customFormat="1" x14ac:dyDescent="0.25"/>
    <row r="20" spans="2:5" s="382" customFormat="1" x14ac:dyDescent="0.25"/>
    <row r="21" spans="2:5" s="382" customFormat="1" x14ac:dyDescent="0.25"/>
    <row r="22" spans="2:5" s="382" customFormat="1" x14ac:dyDescent="0.25"/>
    <row r="23" spans="2:5" s="382" customFormat="1" x14ac:dyDescent="0.25"/>
    <row r="24" spans="2:5" s="382" customFormat="1" x14ac:dyDescent="0.25"/>
    <row r="25" spans="2:5" s="382" customFormat="1" x14ac:dyDescent="0.25">
      <c r="B25" s="382" t="s">
        <v>444</v>
      </c>
    </row>
    <row r="26" spans="2:5" x14ac:dyDescent="0.25">
      <c r="B26" s="370" t="s">
        <v>390</v>
      </c>
      <c r="C26" s="370" t="s">
        <v>328</v>
      </c>
      <c r="D26" s="370" t="s">
        <v>350</v>
      </c>
      <c r="E26" s="370" t="s">
        <v>391</v>
      </c>
    </row>
    <row r="27" spans="2:5" x14ac:dyDescent="0.25">
      <c r="B27" s="371" t="s">
        <v>0</v>
      </c>
      <c r="C27" s="372">
        <v>2.5</v>
      </c>
      <c r="D27" s="372">
        <v>2.5</v>
      </c>
      <c r="E27" s="371" t="s">
        <v>397</v>
      </c>
    </row>
    <row r="28" spans="2:5" ht="15.75" thickBot="1" x14ac:dyDescent="0.3">
      <c r="B28" s="142" t="s">
        <v>401</v>
      </c>
      <c r="C28" s="610">
        <v>310.89999999999998</v>
      </c>
      <c r="D28" s="610">
        <v>326</v>
      </c>
      <c r="E28" s="142"/>
    </row>
    <row r="29" spans="2:5" x14ac:dyDescent="0.25">
      <c r="B29" s="143" t="s">
        <v>387</v>
      </c>
      <c r="C29" s="173">
        <f>C28*0.5</f>
        <v>155.44999999999999</v>
      </c>
      <c r="D29" s="173">
        <f>D28*0.5</f>
        <v>163</v>
      </c>
      <c r="E29" s="143" t="s">
        <v>393</v>
      </c>
    </row>
    <row r="30" spans="2:5" x14ac:dyDescent="0.25">
      <c r="B30" s="373" t="s">
        <v>335</v>
      </c>
      <c r="C30" s="374">
        <f>C29*0.55</f>
        <v>85.497500000000002</v>
      </c>
      <c r="D30" s="374">
        <f>D29*0.55</f>
        <v>89.65</v>
      </c>
      <c r="E30" s="375" t="s">
        <v>398</v>
      </c>
    </row>
    <row r="31" spans="2:5" x14ac:dyDescent="0.25">
      <c r="B31" s="373" t="s">
        <v>346</v>
      </c>
      <c r="C31" s="374">
        <f>C29*0.25</f>
        <v>38.862499999999997</v>
      </c>
      <c r="D31" s="374">
        <f>D29*0.25</f>
        <v>40.75</v>
      </c>
      <c r="E31" s="375" t="s">
        <v>399</v>
      </c>
    </row>
    <row r="32" spans="2:5" x14ac:dyDescent="0.25">
      <c r="B32" s="373" t="s">
        <v>392</v>
      </c>
      <c r="C32" s="374">
        <f>C29*0.2</f>
        <v>31.09</v>
      </c>
      <c r="D32" s="374">
        <f>D29*0.2</f>
        <v>32.6</v>
      </c>
      <c r="E32" s="375" t="s">
        <v>400</v>
      </c>
    </row>
    <row r="33" spans="2:5" x14ac:dyDescent="0.25">
      <c r="B33" s="376" t="s">
        <v>386</v>
      </c>
      <c r="C33" s="377">
        <f>C28*0.25</f>
        <v>77.724999999999994</v>
      </c>
      <c r="D33" s="377">
        <f>D28*0.25</f>
        <v>81.5</v>
      </c>
      <c r="E33" s="376" t="s">
        <v>394</v>
      </c>
    </row>
    <row r="34" spans="2:5" x14ac:dyDescent="0.25">
      <c r="B34" s="378" t="s">
        <v>388</v>
      </c>
      <c r="C34" s="379">
        <f>C28*0.15</f>
        <v>46.634999999999998</v>
      </c>
      <c r="D34" s="379">
        <f>D28*0.15</f>
        <v>48.9</v>
      </c>
      <c r="E34" s="378" t="s">
        <v>395</v>
      </c>
    </row>
    <row r="35" spans="2:5" x14ac:dyDescent="0.25">
      <c r="B35" s="380" t="s">
        <v>389</v>
      </c>
      <c r="C35" s="381">
        <f>C28*0.1</f>
        <v>31.09</v>
      </c>
      <c r="D35" s="381">
        <f>D28*0.1</f>
        <v>32.6</v>
      </c>
      <c r="E35" s="380" t="s">
        <v>396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5f5d947-b6c9-4398-8be4-ec86353295e1">
      <UserInfo>
        <DisplayName>Power, Andres (MYR)</DisplayName>
        <AccountId>65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8553AE20D24F489FC0D24400146FF8" ma:contentTypeVersion="5" ma:contentTypeDescription="Create a new document." ma:contentTypeScope="" ma:versionID="9e5a5ed44fc7dcaa9940aa7b7f6ef942">
  <xsd:schema xmlns:xsd="http://www.w3.org/2001/XMLSchema" xmlns:xs="http://www.w3.org/2001/XMLSchema" xmlns:p="http://schemas.microsoft.com/office/2006/metadata/properties" xmlns:ns2="95f5d947-b6c9-4398-8be4-ec86353295e1" xmlns:ns3="177060e1-214d-4cd7-9e39-61a591b1888a" targetNamespace="http://schemas.microsoft.com/office/2006/metadata/properties" ma:root="true" ma:fieldsID="c719f2405c9df11a492ee97a2ebe8c0d" ns2:_="" ns3:_="">
    <xsd:import namespace="95f5d947-b6c9-4398-8be4-ec86353295e1"/>
    <xsd:import namespace="177060e1-214d-4cd7-9e39-61a591b188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5d947-b6c9-4398-8be4-ec86353295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060e1-214d-4cd7-9e39-61a591b188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7F7931-F41A-45D8-B0C3-0CF150E1F6DC}">
  <ds:schemaRefs>
    <ds:schemaRef ds:uri="http://purl.org/dc/elements/1.1/"/>
    <ds:schemaRef ds:uri="http://schemas.microsoft.com/office/2006/documentManagement/types"/>
    <ds:schemaRef ds:uri="95f5d947-b6c9-4398-8be4-ec86353295e1"/>
    <ds:schemaRef ds:uri="http://purl.org/dc/terms/"/>
    <ds:schemaRef ds:uri="http://schemas.openxmlformats.org/package/2006/metadata/core-properties"/>
    <ds:schemaRef ds:uri="http://purl.org/dc/dcmitype/"/>
    <ds:schemaRef ds:uri="http://schemas.microsoft.com/office/infopath/2007/PartnerControls"/>
    <ds:schemaRef ds:uri="177060e1-214d-4cd7-9e39-61a591b1888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1FA2A7-0456-4F3B-BC4C-D11000EA5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f5d947-b6c9-4398-8be4-ec86353295e1"/>
    <ds:schemaRef ds:uri="177060e1-214d-4cd7-9e39-61a591b188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DB9994-B5E3-4428-98C6-C001930FDA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OCOH FY23 &amp; FY24 Crosswalk</vt:lpstr>
      <vt:lpstr>OCOH Budgets FY23 &amp; FY24</vt:lpstr>
      <vt:lpstr>Committee Prop Recs FY23 &amp; FY24</vt:lpstr>
      <vt:lpstr>Fund rebalance 3.5 admin alloc.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Shimmin</dc:creator>
  <cp:keywords/>
  <dc:description/>
  <cp:lastModifiedBy>Shimmin, Jessica (CON)</cp:lastModifiedBy>
  <cp:revision/>
  <cp:lastPrinted>2022-05-09T21:58:29Z</cp:lastPrinted>
  <dcterms:created xsi:type="dcterms:W3CDTF">2022-02-15T23:23:50Z</dcterms:created>
  <dcterms:modified xsi:type="dcterms:W3CDTF">2022-06-14T23:39:29Z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0x010100728553AE20D24F489FC0D24400146FF8</vt:lpwstr>
  </property>
</Properties>
</file>