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Our City Our Home Prop. C Oversight Comm\FY21-22 Committee Materials\Investment Plan\"/>
    </mc:Choice>
  </mc:AlternateContent>
  <xr:revisionPtr revIDLastSave="0" documentId="13_ncr:1_{1C0607F5-073B-4744-A5C0-5345379BD34B}" xr6:coauthVersionLast="46" xr6:coauthVersionMax="46" xr10:uidLastSave="{00000000-0000-0000-0000-000000000000}"/>
  <bookViews>
    <workbookView xWindow="-135" yWindow="-135" windowWidth="29070" windowHeight="15870" xr2:uid="{9E09E2AE-4614-4394-9F94-67B48FF4F517}"/>
  </bookViews>
  <sheets>
    <sheet name="FINAL 7.27.21" sheetId="2" r:id="rId1"/>
    <sheet name="Housing" sheetId="4" r:id="rId2"/>
    <sheet name="Prevention" sheetId="5" r:id="rId3"/>
    <sheet name="Shelter and Hygiene" sheetId="7" r:id="rId4"/>
    <sheet name="Mental Health" sheetId="6" r:id="rId5"/>
  </sheets>
  <definedNames>
    <definedName name="_xlnm._FilterDatabase" localSheetId="0" hidden="1">'FINAL 7.27.21'!$A$1:$H$27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2" l="1"/>
  <c r="E31" i="6"/>
  <c r="E32" i="6"/>
  <c r="E33" i="6"/>
  <c r="C33" i="6"/>
  <c r="D33" i="6"/>
  <c r="B33" i="6"/>
  <c r="C31" i="6" l="1"/>
  <c r="E27" i="6"/>
  <c r="B31" i="6"/>
  <c r="E30" i="6"/>
  <c r="E24" i="6"/>
  <c r="E25" i="6"/>
  <c r="E23" i="6"/>
  <c r="E16" i="6"/>
  <c r="E17" i="6"/>
  <c r="E18" i="6"/>
  <c r="E19" i="6"/>
  <c r="E20" i="6"/>
  <c r="E21" i="6"/>
  <c r="E6" i="6"/>
  <c r="E7" i="6"/>
  <c r="E8" i="6"/>
  <c r="E9" i="6"/>
  <c r="E10" i="6"/>
  <c r="E11" i="6"/>
  <c r="E12" i="6"/>
  <c r="E13" i="6"/>
  <c r="E14" i="6"/>
  <c r="E15" i="6"/>
  <c r="E5" i="6"/>
  <c r="D24" i="6"/>
  <c r="D31" i="6" s="1"/>
  <c r="C24" i="6"/>
  <c r="B19" i="7"/>
  <c r="E6" i="7"/>
  <c r="E7" i="7"/>
  <c r="E5" i="7"/>
  <c r="E20" i="7"/>
  <c r="D19" i="7"/>
  <c r="D21" i="7" s="1"/>
  <c r="C19" i="7"/>
  <c r="C21" i="7" s="1"/>
  <c r="B21" i="7"/>
  <c r="E18" i="7"/>
  <c r="E16" i="7"/>
  <c r="E15" i="7"/>
  <c r="E14" i="7"/>
  <c r="E13" i="7"/>
  <c r="E12" i="7"/>
  <c r="E10" i="7"/>
  <c r="E9" i="7"/>
  <c r="E32" i="5"/>
  <c r="E27" i="5"/>
  <c r="E30" i="5"/>
  <c r="C29" i="5"/>
  <c r="C31" i="5" s="1"/>
  <c r="D29" i="5"/>
  <c r="D31" i="5" s="1"/>
  <c r="B29" i="5"/>
  <c r="B31" i="5" s="1"/>
  <c r="E28" i="5"/>
  <c r="E21" i="5"/>
  <c r="E19" i="7" l="1"/>
  <c r="E21" i="7"/>
  <c r="E29" i="5"/>
  <c r="E17" i="5" l="1"/>
  <c r="E11" i="5"/>
  <c r="E26" i="5"/>
  <c r="E6" i="5"/>
  <c r="E8" i="5"/>
  <c r="E5" i="5"/>
  <c r="E7" i="5"/>
  <c r="E9" i="5" l="1"/>
  <c r="E31" i="5" s="1"/>
  <c r="C71" i="2" l="1"/>
  <c r="D71" i="2"/>
  <c r="E71" i="2"/>
  <c r="D33" i="4"/>
  <c r="E26" i="4"/>
  <c r="C45" i="4"/>
  <c r="C48" i="4" s="1"/>
  <c r="D45" i="4"/>
  <c r="D48" i="4" s="1"/>
  <c r="B45" i="4"/>
  <c r="E44" i="4"/>
  <c r="E43" i="4"/>
  <c r="E42" i="4"/>
  <c r="E34" i="4"/>
  <c r="B33" i="4"/>
  <c r="E28" i="4"/>
  <c r="E29" i="4"/>
  <c r="E32" i="4"/>
  <c r="D18" i="4"/>
  <c r="D21" i="4" s="1"/>
  <c r="C18" i="4"/>
  <c r="C21" i="4" s="1"/>
  <c r="B18" i="4"/>
  <c r="E6" i="4"/>
  <c r="E10" i="4"/>
  <c r="E14" i="4"/>
  <c r="E17" i="4"/>
  <c r="E16" i="4"/>
  <c r="E15" i="4"/>
  <c r="D52" i="4"/>
  <c r="C52" i="4"/>
  <c r="B52" i="4"/>
  <c r="D51" i="4"/>
  <c r="C51" i="4"/>
  <c r="B51" i="4"/>
  <c r="E47" i="4"/>
  <c r="E46" i="4"/>
  <c r="E41" i="4"/>
  <c r="E40" i="4"/>
  <c r="E35" i="4"/>
  <c r="D36" i="4"/>
  <c r="C33" i="4"/>
  <c r="C36" i="4" s="1"/>
  <c r="E27" i="4"/>
  <c r="E31" i="4"/>
  <c r="E30" i="4"/>
  <c r="E25" i="4"/>
  <c r="E24" i="4"/>
  <c r="E20" i="4"/>
  <c r="E19" i="4"/>
  <c r="E13" i="4"/>
  <c r="E12" i="4"/>
  <c r="E11" i="4"/>
  <c r="E9" i="4"/>
  <c r="E7" i="4"/>
  <c r="E5" i="4"/>
  <c r="E45" i="4" l="1"/>
  <c r="B48" i="4"/>
  <c r="E48" i="4" s="1"/>
  <c r="E33" i="4"/>
  <c r="E52" i="4"/>
  <c r="B36" i="4"/>
  <c r="E36" i="4" s="1"/>
  <c r="D50" i="4"/>
  <c r="D53" i="4" s="1"/>
  <c r="E39" i="4"/>
  <c r="B21" i="4"/>
  <c r="E21" i="4" s="1"/>
  <c r="E8" i="4"/>
  <c r="E18" i="4" s="1"/>
  <c r="E51" i="4"/>
  <c r="C50" i="4"/>
  <c r="C53" i="4" s="1"/>
  <c r="E130" i="2"/>
  <c r="D130" i="2"/>
  <c r="C130" i="2"/>
  <c r="B50" i="4" l="1"/>
  <c r="B53" i="4" s="1"/>
  <c r="E53" i="4" s="1"/>
  <c r="E157" i="2"/>
  <c r="E156" i="2" s="1"/>
  <c r="E50" i="4" l="1"/>
  <c r="E108" i="2"/>
  <c r="D108" i="2"/>
  <c r="D95" i="2"/>
  <c r="E120" i="2"/>
  <c r="D120" i="2"/>
  <c r="F162" i="2" l="1"/>
  <c r="F133" i="2"/>
  <c r="F134" i="2"/>
  <c r="F135" i="2"/>
  <c r="F132" i="2"/>
  <c r="G43" i="2"/>
  <c r="E43" i="2"/>
  <c r="D43" i="2"/>
  <c r="F46" i="2"/>
  <c r="F172" i="2" l="1"/>
  <c r="F166" i="2"/>
  <c r="F164" i="2"/>
  <c r="F158" i="2"/>
  <c r="F159" i="2"/>
  <c r="F160" i="2"/>
  <c r="F161" i="2"/>
  <c r="F163" i="2"/>
  <c r="F157" i="2"/>
  <c r="F154" i="2"/>
  <c r="F153" i="2"/>
  <c r="F148" i="2"/>
  <c r="F144" i="2"/>
  <c r="F142" i="2"/>
  <c r="F140" i="2"/>
  <c r="F138" i="2"/>
  <c r="F137" i="2"/>
  <c r="F131" i="2"/>
  <c r="F125" i="2"/>
  <c r="F121" i="2"/>
  <c r="F119" i="2"/>
  <c r="F112" i="2"/>
  <c r="F120" i="2"/>
  <c r="F117" i="2"/>
  <c r="F116" i="2"/>
  <c r="F115" i="2"/>
  <c r="F114" i="2"/>
  <c r="F113" i="2"/>
  <c r="F110" i="2"/>
  <c r="F109" i="2"/>
  <c r="F108" i="2"/>
  <c r="F107" i="2"/>
  <c r="F106" i="2"/>
  <c r="F105" i="2"/>
  <c r="F104" i="2"/>
  <c r="F102" i="2"/>
  <c r="F101" i="2"/>
  <c r="F100" i="2"/>
  <c r="F99" i="2"/>
  <c r="F97" i="2"/>
  <c r="F96" i="2"/>
  <c r="F95" i="2"/>
  <c r="F94" i="2"/>
  <c r="F89" i="2"/>
  <c r="F72" i="2"/>
  <c r="F71" i="2"/>
  <c r="F69" i="2"/>
  <c r="F68" i="2"/>
  <c r="F67" i="2"/>
  <c r="F65" i="2"/>
  <c r="F64" i="2"/>
  <c r="F62" i="2"/>
  <c r="F60" i="2"/>
  <c r="F59" i="2"/>
  <c r="F52" i="2"/>
  <c r="F47" i="2"/>
  <c r="F45" i="2"/>
  <c r="F44" i="2"/>
  <c r="F42" i="2"/>
  <c r="F41" i="2"/>
  <c r="F34" i="2"/>
  <c r="F25" i="2"/>
  <c r="F24" i="2"/>
  <c r="F23" i="2"/>
  <c r="F21" i="2"/>
  <c r="F20" i="2"/>
  <c r="F19" i="2"/>
  <c r="F17" i="2"/>
  <c r="F13" i="2"/>
  <c r="F12" i="2"/>
  <c r="F11" i="2"/>
  <c r="F5" i="2"/>
  <c r="E93" i="2" l="1"/>
  <c r="D93" i="2"/>
  <c r="E111" i="2"/>
  <c r="D111" i="2"/>
  <c r="D103" i="2"/>
  <c r="E103" i="2"/>
  <c r="C16" i="2" l="1"/>
  <c r="F16" i="2" s="1"/>
  <c r="C15" i="2"/>
  <c r="F15" i="2" s="1"/>
  <c r="E58" i="2" l="1"/>
  <c r="C58" i="2"/>
  <c r="D58" i="2"/>
  <c r="C141" i="2"/>
  <c r="F58" i="2" l="1"/>
  <c r="C139" i="2"/>
  <c r="F141" i="2"/>
  <c r="E139" i="2" l="1"/>
  <c r="D139" i="2"/>
  <c r="F139" i="2" l="1"/>
  <c r="G156" i="2"/>
  <c r="D156" i="2"/>
  <c r="C156" i="2"/>
  <c r="D155" i="2"/>
  <c r="G152" i="2"/>
  <c r="E152" i="2"/>
  <c r="C152" i="2"/>
  <c r="G139" i="2"/>
  <c r="G136" i="2"/>
  <c r="E136" i="2"/>
  <c r="D136" i="2"/>
  <c r="C136" i="2"/>
  <c r="G130" i="2"/>
  <c r="E118" i="2"/>
  <c r="D118" i="2"/>
  <c r="C118" i="2"/>
  <c r="C111" i="2"/>
  <c r="F111" i="2" s="1"/>
  <c r="G103" i="2"/>
  <c r="G90" i="2" s="1"/>
  <c r="C103" i="2"/>
  <c r="F103" i="2" s="1"/>
  <c r="E98" i="2"/>
  <c r="D98" i="2"/>
  <c r="C98" i="2"/>
  <c r="C93" i="2"/>
  <c r="F93" i="2" s="1"/>
  <c r="E78" i="2"/>
  <c r="E173" i="2" s="1"/>
  <c r="D78" i="2"/>
  <c r="D173" i="2" s="1"/>
  <c r="C78" i="2"/>
  <c r="G66" i="2"/>
  <c r="E66" i="2"/>
  <c r="D66" i="2"/>
  <c r="C66" i="2"/>
  <c r="G63" i="2"/>
  <c r="E63" i="2"/>
  <c r="D63" i="2"/>
  <c r="C63" i="2"/>
  <c r="G61" i="2"/>
  <c r="E61" i="2"/>
  <c r="D61" i="2"/>
  <c r="C61" i="2"/>
  <c r="D57" i="2"/>
  <c r="C57" i="2"/>
  <c r="E57" i="2"/>
  <c r="G36" i="2"/>
  <c r="C43" i="2"/>
  <c r="C40" i="2"/>
  <c r="E39" i="2"/>
  <c r="D39" i="2"/>
  <c r="C27" i="2"/>
  <c r="G22" i="2"/>
  <c r="E22" i="2"/>
  <c r="D22" i="2"/>
  <c r="C22" i="2"/>
  <c r="G18" i="2"/>
  <c r="E18" i="2"/>
  <c r="D18" i="2"/>
  <c r="C18" i="2"/>
  <c r="C14" i="2"/>
  <c r="E14" i="2"/>
  <c r="D14" i="2"/>
  <c r="E10" i="2"/>
  <c r="D10" i="2"/>
  <c r="G10" i="2"/>
  <c r="C10" i="2"/>
  <c r="F63" i="2" l="1"/>
  <c r="G54" i="2"/>
  <c r="F98" i="2"/>
  <c r="F10" i="2"/>
  <c r="F18" i="2"/>
  <c r="F118" i="2"/>
  <c r="F57" i="2"/>
  <c r="F130" i="2"/>
  <c r="C174" i="2"/>
  <c r="F174" i="2" s="1"/>
  <c r="F27" i="2"/>
  <c r="F136" i="2"/>
  <c r="F78" i="2"/>
  <c r="F22" i="2"/>
  <c r="C39" i="2"/>
  <c r="F39" i="2" s="1"/>
  <c r="F40" i="2"/>
  <c r="D152" i="2"/>
  <c r="D149" i="2" s="1"/>
  <c r="D150" i="2" s="1"/>
  <c r="F155" i="2"/>
  <c r="F14" i="2"/>
  <c r="F43" i="2"/>
  <c r="F61" i="2"/>
  <c r="F66" i="2"/>
  <c r="F156" i="2"/>
  <c r="E149" i="2"/>
  <c r="E150" i="2" s="1"/>
  <c r="G149" i="2"/>
  <c r="E84" i="2"/>
  <c r="D126" i="2"/>
  <c r="D127" i="2" s="1"/>
  <c r="E126" i="2"/>
  <c r="E127" i="2" s="1"/>
  <c r="C126" i="2"/>
  <c r="D54" i="2"/>
  <c r="D55" i="2" s="1"/>
  <c r="E54" i="2"/>
  <c r="E55" i="2" s="1"/>
  <c r="D36" i="2"/>
  <c r="D37" i="2" s="1"/>
  <c r="C84" i="2"/>
  <c r="D84" i="2"/>
  <c r="E90" i="2"/>
  <c r="E91" i="2" s="1"/>
  <c r="E36" i="2"/>
  <c r="E37" i="2" s="1"/>
  <c r="C7" i="2"/>
  <c r="D7" i="2"/>
  <c r="D8" i="2" s="1"/>
  <c r="E7" i="2"/>
  <c r="E83" i="2"/>
  <c r="G7" i="2"/>
  <c r="C90" i="2"/>
  <c r="G126" i="2"/>
  <c r="C54" i="2"/>
  <c r="C83" i="2"/>
  <c r="C173" i="2"/>
  <c r="F173" i="2" s="1"/>
  <c r="D83" i="2"/>
  <c r="C149" i="2"/>
  <c r="D90" i="2"/>
  <c r="D91" i="2" s="1"/>
  <c r="C36" i="2" l="1"/>
  <c r="C80" i="2" s="1"/>
  <c r="C176" i="2" s="1"/>
  <c r="F7" i="2"/>
  <c r="F152" i="2"/>
  <c r="C150" i="2"/>
  <c r="F150" i="2" s="1"/>
  <c r="F149" i="2"/>
  <c r="C91" i="2"/>
  <c r="F91" i="2" s="1"/>
  <c r="F90" i="2"/>
  <c r="F54" i="2"/>
  <c r="C127" i="2"/>
  <c r="F126" i="2"/>
  <c r="E85" i="2"/>
  <c r="D85" i="2"/>
  <c r="G80" i="2"/>
  <c r="G176" i="2" s="1"/>
  <c r="C85" i="2"/>
  <c r="E80" i="2"/>
  <c r="E176" i="2" s="1"/>
  <c r="E8" i="2"/>
  <c r="D80" i="2"/>
  <c r="D176" i="2" s="1"/>
  <c r="F36" i="2" l="1"/>
  <c r="C128" i="2"/>
  <c r="C6" i="2" s="1"/>
  <c r="F127" i="2"/>
  <c r="C177" i="2"/>
  <c r="F80" i="2"/>
  <c r="D175" i="2"/>
  <c r="D177" i="2"/>
  <c r="E175" i="2"/>
  <c r="E177" i="2"/>
  <c r="E81" i="2"/>
  <c r="D81" i="2"/>
  <c r="F177" i="2" l="1"/>
  <c r="C175" i="2"/>
  <c r="F175" i="2" s="1"/>
  <c r="F176" i="2"/>
  <c r="F128" i="2"/>
  <c r="C53" i="2"/>
  <c r="C35" i="2"/>
  <c r="F6" i="2" l="1"/>
  <c r="C8" i="2"/>
  <c r="F8" i="2" s="1"/>
  <c r="C79" i="2"/>
  <c r="F35" i="2"/>
  <c r="C37" i="2"/>
  <c r="F37" i="2" s="1"/>
  <c r="F53" i="2"/>
  <c r="C55" i="2"/>
  <c r="F55" i="2" s="1"/>
  <c r="F79" i="2" l="1"/>
  <c r="C81" i="2"/>
  <c r="F81" i="2" s="1"/>
</calcChain>
</file>

<file path=xl/sharedStrings.xml><?xml version="1.0" encoding="utf-8"?>
<sst xmlns="http://schemas.openxmlformats.org/spreadsheetml/2006/main" count="667" uniqueCount="421">
  <si>
    <t>Permanent Housing - General</t>
  </si>
  <si>
    <t>New Beds/ Units / Exits</t>
  </si>
  <si>
    <t>Notes</t>
  </si>
  <si>
    <t>Estimated Balance</t>
  </si>
  <si>
    <t>Total Investments</t>
  </si>
  <si>
    <t>Estimated Balance after Investments</t>
  </si>
  <si>
    <t>Funding Priorties</t>
  </si>
  <si>
    <t>New Pipeline PSH</t>
  </si>
  <si>
    <t>12/20 release</t>
  </si>
  <si>
    <t>New HomeKey Projects: Operating</t>
  </si>
  <si>
    <t xml:space="preserve">Diva and Granada </t>
  </si>
  <si>
    <t>New HomeKey Projects: Acquisition</t>
  </si>
  <si>
    <t>Diva and Granada, smoothed across years to manage fund balance</t>
  </si>
  <si>
    <t>Other new PSH Projects funded with one-time sources (ongoing)</t>
  </si>
  <si>
    <t>Future PSH Aquisition &amp; Operating</t>
  </si>
  <si>
    <t>TBD</t>
  </si>
  <si>
    <t>Future Adult PSH Acquisition</t>
  </si>
  <si>
    <t>Future Adult PSH Operating</t>
  </si>
  <si>
    <t>Flex Pool</t>
  </si>
  <si>
    <t>Flex Pool PSH (Adult)</t>
  </si>
  <si>
    <t>75 Adults, 225 Seniors, 25 Bayview</t>
  </si>
  <si>
    <t>Medium-Term Subsidies</t>
  </si>
  <si>
    <t>Medium-Term Subsidies and Workforce</t>
  </si>
  <si>
    <t>Includes subsidies and workforce programming (FY21 only)</t>
  </si>
  <si>
    <t>-</t>
  </si>
  <si>
    <t>Housing Frontline Worker Pay Bonus</t>
  </si>
  <si>
    <t>HSH Operating</t>
  </si>
  <si>
    <t>Permanent Housing - Families</t>
  </si>
  <si>
    <t>Future Family PSH Acquisition</t>
  </si>
  <si>
    <t>Future Family PSH Operating</t>
  </si>
  <si>
    <t>Flex Pool (Family)</t>
  </si>
  <si>
    <t>Permanent Housing - TAY</t>
  </si>
  <si>
    <t>Funding Priorities</t>
  </si>
  <si>
    <t>Future TAY PSH Acquisition</t>
  </si>
  <si>
    <t>Flex Pool (TAY)</t>
  </si>
  <si>
    <t xml:space="preserve">Medium-Term Subsidies </t>
  </si>
  <si>
    <t>TAY Rapid Rehousing Expansion</t>
  </si>
  <si>
    <t>Other Housing</t>
  </si>
  <si>
    <t>Non-Time-Limited Bridge Housing</t>
  </si>
  <si>
    <t>Permanent Housing Summary</t>
  </si>
  <si>
    <t>Total Estimated Fund Balance</t>
  </si>
  <si>
    <t>Total Estimated Remaining Balance</t>
  </si>
  <si>
    <t>Cap for Housing &lt;5 Years</t>
  </si>
  <si>
    <t>Housing &lt; 5 years: 12% Cap</t>
  </si>
  <si>
    <t>Housing &lt; 5 years: Total Investments</t>
  </si>
  <si>
    <t>Housing &lt; 5 years: Remaining</t>
  </si>
  <si>
    <t>Mental Health Services</t>
  </si>
  <si>
    <t>Assertive Outreach Services</t>
  </si>
  <si>
    <t>Overdose Prevention Services</t>
  </si>
  <si>
    <t>Case Management Services</t>
  </si>
  <si>
    <t>Expand Intensive Case Management</t>
  </si>
  <si>
    <t>Behavioral &amp; Clinical Health Services in PSH</t>
  </si>
  <si>
    <t>Treatment Beds</t>
  </si>
  <si>
    <t>Site Acquisition for New Treatment Beds</t>
  </si>
  <si>
    <t>Increase Treatment Bed Capacity</t>
  </si>
  <si>
    <t>Drop-In Services</t>
  </si>
  <si>
    <t>Mental Health Service Center</t>
  </si>
  <si>
    <t>Operating and Implementation Costs</t>
  </si>
  <si>
    <t>Homelessness Prevention</t>
  </si>
  <si>
    <t>Problem Solving</t>
  </si>
  <si>
    <t>Problem Solving Plus Rental Assistance</t>
  </si>
  <si>
    <t>Homeless Prevention &amp; Eviction Prevention</t>
  </si>
  <si>
    <t>Homeless Prevention Financial Assistance &amp; Services</t>
  </si>
  <si>
    <t>Eviction Prevention &amp; Housing Stabilization</t>
  </si>
  <si>
    <t>Shallow Subsidies for PSH Residents</t>
  </si>
  <si>
    <t xml:space="preserve">Reduce rental cost burrden for ~2800 households in PSH paying more than 30% of their income toward rent and putting them at risk of housing instablity. Ongoing </t>
  </si>
  <si>
    <t>Prevention Providers Frontline Pay Bonus</t>
  </si>
  <si>
    <t>Shelter &amp; Hygiene</t>
  </si>
  <si>
    <t>COVID Response</t>
  </si>
  <si>
    <t>COVID-19 Shelter: SIP (FY21), Safe Sleep, Trailer</t>
  </si>
  <si>
    <t>COVID-19 Shelter: Trailer Program</t>
  </si>
  <si>
    <t>Maintains 120 trailers for 2 years</t>
  </si>
  <si>
    <t>COVID-19 Shelter Costs: Safe Sleep</t>
  </si>
  <si>
    <t>Continues Safe Sleep in FY22 at slightly lower capacity, and further reduces capacity in FY23 as the COVID emergency allows other shelter options to reactivate.</t>
  </si>
  <si>
    <t>New Shelter Programs</t>
  </si>
  <si>
    <t>Navigation Center Operations</t>
  </si>
  <si>
    <t>Safe Parking (Bayview)</t>
  </si>
  <si>
    <t>Drop-In Shelter For Families (Respite)</t>
  </si>
  <si>
    <t>Adds staffing to support an existing family drop-in shelter</t>
  </si>
  <si>
    <t>Domestic Violence Hotel Vouchers</t>
  </si>
  <si>
    <t>Pregnant People and Family Hotel Vouchers</t>
  </si>
  <si>
    <t>Shelter/Hygiene Frontline Worker Pay Bonus</t>
  </si>
  <si>
    <t>Administration and Totals</t>
  </si>
  <si>
    <t>Administration</t>
  </si>
  <si>
    <t>Total Fund Balance</t>
  </si>
  <si>
    <t>Remainining Fund Balance</t>
  </si>
  <si>
    <t>Notes:</t>
  </si>
  <si>
    <t>Street Crisis Response Outreach Teams (SCRT)</t>
  </si>
  <si>
    <t xml:space="preserve">TAY Care Coordination </t>
  </si>
  <si>
    <t>TAY Residential Treatment Beds</t>
  </si>
  <si>
    <t>Trangender Mental Health Services</t>
  </si>
  <si>
    <t>TAY Mental Health Services</t>
  </si>
  <si>
    <t>Navigation Center for Justice Involved Adults</t>
  </si>
  <si>
    <t>Ongoing operating of 287 new units of housing: Abigail, Cadillac, 270 Turk, Scattered Site</t>
  </si>
  <si>
    <t>Future TAY PSH Operating</t>
  </si>
  <si>
    <t>Artmar</t>
  </si>
  <si>
    <t xml:space="preserve">Expand case management capacity by 865 cases </t>
  </si>
  <si>
    <t>1,500 clients annually</t>
  </si>
  <si>
    <t xml:space="preserve">Expand case management capacity by 85 cases </t>
  </si>
  <si>
    <t>2,000 service calls annually across existing/new PSH to capacity build/train PSH staff, and provide linkage to case management; 600 unduplicated clients/ year receive on-site behavioral health and/or physical health services</t>
  </si>
  <si>
    <t>Support the acqusition process</t>
  </si>
  <si>
    <t xml:space="preserve">15 urgent care beds, up to 72-hour stay </t>
  </si>
  <si>
    <t>Model and outcomes TBD with community input</t>
  </si>
  <si>
    <t>Est. New Beds/ Units / Exits</t>
  </si>
  <si>
    <t>Care Coordination Team (previously within SCRT item)</t>
  </si>
  <si>
    <t>&gt;2,500 touchpoints depending on program model</t>
  </si>
  <si>
    <t xml:space="preserve">Operating and Implementation </t>
  </si>
  <si>
    <t>Mental Health Service Center 24/7</t>
  </si>
  <si>
    <t>One-Time Fund Balance Transfer</t>
  </si>
  <si>
    <t>Transfer balance from Prevention funds, 55%</t>
  </si>
  <si>
    <t>Transfer from Prevention funds, 20%</t>
  </si>
  <si>
    <t>Transfer from Prevention funds, 25%</t>
  </si>
  <si>
    <t>Future Adult PSH Acquisition - Prevention Transfer</t>
  </si>
  <si>
    <t>Transfer budget does not include operating costs for associated units</t>
  </si>
  <si>
    <t>75 Adults, 375 Seniors, 200 Tipping Point</t>
  </si>
  <si>
    <t>Urgent Care &amp; Crisis Diversion Facility (previously within SCRT item)</t>
  </si>
  <si>
    <t>Street Medicine Behavioral Health Expansion</t>
  </si>
  <si>
    <t>200 unduplicated clients</t>
  </si>
  <si>
    <t>2,500 touchpoints, Expanded Access to Assessment, Evaluation and Pharmacy</t>
  </si>
  <si>
    <t>132 beds, Estimations from Mental Health Bed Needs Assessment.</t>
  </si>
  <si>
    <t>3,450 touchpoints</t>
  </si>
  <si>
    <t>Support for PSH Residents</t>
  </si>
  <si>
    <t>Enhanced Clinical Services in PSH</t>
  </si>
  <si>
    <t>New Co-Op Housing</t>
  </si>
  <si>
    <t>OCOH added one new co-op site for 6 clients</t>
  </si>
  <si>
    <t>Enhancing Provider Capacity for On-Site Behavioral Health</t>
  </si>
  <si>
    <t>OCOH enhances behavioral health services in shelters and drop-in centers</t>
  </si>
  <si>
    <t>OCOH adds new drop-in program for medical, behavioral and other services</t>
  </si>
  <si>
    <t>One-Time Transfer To Housing</t>
  </si>
  <si>
    <t>1-time transfer of unprogrammed balance from Prevention to Housing</t>
  </si>
  <si>
    <t>Total Previous Investments</t>
  </si>
  <si>
    <t>Total New Investments</t>
  </si>
  <si>
    <t>Transit Services</t>
  </si>
  <si>
    <t>Transit to and from several programs targeting homeless clients, including Drug Sobering &amp; MAP</t>
  </si>
  <si>
    <t>Total (FY20-23)</t>
  </si>
  <si>
    <t>MYR estimates purchasing or developing 175-250 units of family housing with $100m in acquisition funds. Range based on development vs. acquisition and larger-sized units needed. Includes one-time transfer from Prevention</t>
  </si>
  <si>
    <t>OCOH expanded MAT beds by 10; MYR replaced 10 RSD beds with 10 MAP beds and 6 co-op beds to better align</t>
  </si>
  <si>
    <t>10,000 people served annually by 6 (OCOH) or 7 (MYR) teams</t>
  </si>
  <si>
    <t xml:space="preserve">OCOH Ordinance mandates a cap of 12% of total housing expenditure for short-term housing (&lt;5 years). </t>
  </si>
  <si>
    <t>"12/20 Release" refers to expenditures approved for release of reserve by BOS 12/16/20. These lines also include ongoing costs for the services funded in the release through FY21-22 and FY22-23</t>
  </si>
  <si>
    <t>6/15 vote by committee in support of transferring Flex Pool funding to new housing acquisition</t>
  </si>
  <si>
    <t xml:space="preserve">Supporting sheltered and unsheltered individuals; 6/15 vote by committee in support of funding 100 slots in this category and using remainder (200 slots) for new housing acquisition. </t>
  </si>
  <si>
    <t>SRO Family Subsidies</t>
  </si>
  <si>
    <t>BOS approved $962K in FY22-23 to launch bridge housing program</t>
  </si>
  <si>
    <t xml:space="preserve">Problem Solving Plus Rental Assistance </t>
  </si>
  <si>
    <t>Problem Solving for Adults, Veterans and Justice-involved adults</t>
  </si>
  <si>
    <t>Problem Solving for Families</t>
  </si>
  <si>
    <t>Problem Solving for TAY</t>
  </si>
  <si>
    <t>TAY Hotel Vouchers</t>
  </si>
  <si>
    <t>BOS: added $1.2m in TAY hotel vouchers</t>
  </si>
  <si>
    <t>BOS allocated funding for subsidies for families housed in SROs</t>
  </si>
  <si>
    <t>New Harm Reduction Therapy Services</t>
  </si>
  <si>
    <t>Support the acqusition process for 2-3 sites; OCOH recommended additional $45.5m at June 2021 meeting</t>
  </si>
  <si>
    <t>FY20-21 Balance &amp; Apprpriations</t>
  </si>
  <si>
    <t>FY21-22 Balance &amp; Appropriations</t>
  </si>
  <si>
    <t>FY22-23 Balance &amp; Appropriations</t>
  </si>
  <si>
    <t xml:space="preserve">Our City, Our Home Fund: Projected Balances and Appropriations  </t>
  </si>
  <si>
    <t>Projected Balances and Approved Appropriations</t>
  </si>
  <si>
    <t>General pool of problem solving using one-time funding; possible interventions: Problem Solving, Diversion, "Rapid Exit," Shallow Subsidy; number served dependent on grant amount</t>
  </si>
  <si>
    <t>Targeted pool of problem solving using one-time funding; possible interventions: Problem Solving, Diversion, "Rapid Exit," Shallow Subsidy; number served dependent on grant amount</t>
  </si>
  <si>
    <t>Targeted pool of problem solving using one-time funding; possible interventions: Problem Solving, Diversion, "Rapid Exit," Shallow Subsidy; number served dependent on grant amount; also includes direct cash assistance pilot for TAY</t>
  </si>
  <si>
    <t xml:space="preserve">DPH program to provide clinical services in existing PSH using one-time funds; prevention portion of funding targeted at formerly homeless individuals in PSH. </t>
  </si>
  <si>
    <t xml:space="preserve">Supports approx. 520 Navigation Center beds providing safe shelter and services for people living unsheltered, supports a much needed full service shelter option in the Bayview and the first Navigation Center for TAY, plus expansion at Division Circle. </t>
  </si>
  <si>
    <t>Funds case management services at Adult Probation program for justice-involved adults</t>
  </si>
  <si>
    <t>Projected Fund Balance includes appropriated and unappropriated budget amounts as of March 2021 projection report</t>
  </si>
  <si>
    <t xml:space="preserve">The Mayor and Board appropriated $196m in FY20-21 for repayment of General Fund advances to OCOH in three prior fiscal years. These costs have been assumed in the FY20-21 budget. </t>
  </si>
  <si>
    <t>Activity for Investment (By Population)</t>
  </si>
  <si>
    <t>Projected Outcomes or Outputs</t>
  </si>
  <si>
    <t xml:space="preserve">  </t>
  </si>
  <si>
    <t>General Population (To receive up to 55% of investments)</t>
  </si>
  <si>
    <t>165 Rapid Rehousing and 325 flex pool slots</t>
  </si>
  <si>
    <t>362 units acquired and rehabbed; 362 sheltered and unsheltered adults housed</t>
  </si>
  <si>
    <t xml:space="preserve">Homekey permanent financing match; due in FY22-23; now projected at $51.6M </t>
  </si>
  <si>
    <t>Operations and services for 287 formerly unhoused persons adequately funded</t>
  </si>
  <si>
    <t>One-time operating funds for Post, 270 Turk, Abigail, and Cadillac, partial match for ERAF grant committed in 2020</t>
  </si>
  <si>
    <t>250-350 units acquired and rehabbed; 250-350 sheltered and unsheltered adults housed; total units may increase based on addition of $19.1M in new acquistion funds, but no additional operating funds have been added.</t>
  </si>
  <si>
    <t>Assumes $350K-$400K cost per unit; OCOH funds to leverage State and Federal matching funds; siting of projects and lease-up strategies need to address racial equity and other equity goals, including gender equity</t>
  </si>
  <si>
    <t>Operations and services for 350 residents adequately funded</t>
  </si>
  <si>
    <t>Assumes $20.0K per unit per year for operations and services, with 3% annual inflator; based on assumption of 200 newly acquired units (average of projected units to be acquired); FY 21-22 investment level assumes partial year (25%) operations and services in FY21-22</t>
  </si>
  <si>
    <t>Operations and services for 362 residents adequately funded</t>
  </si>
  <si>
    <t>650 SIP residents placed and provided rent subsidies and support services in scattered sites</t>
  </si>
  <si>
    <t>Augments December 2020 flex pool funding for 325 SIP residents, now totaling 975 SIP residents; aligns with HSH request</t>
  </si>
  <si>
    <t>Assumes annual cost of $38K per HSH and Controller</t>
  </si>
  <si>
    <t>185 additional SIP hotel residents placed and provided rent subsidies in scattered sites, plus workforce development and other support services</t>
  </si>
  <si>
    <t>Augments December 2020 medium-term subsidies funding for 165 SIP residents, now totaling 350 SIP residents</t>
  </si>
  <si>
    <t>TOTALS - General Population</t>
  </si>
  <si>
    <t>Projected Fund Balances - General</t>
  </si>
  <si>
    <t>Transferred from Prevention</t>
  </si>
  <si>
    <t>Remaining Balances - General</t>
  </si>
  <si>
    <t>TAY Population (To receive at least 20% of investments)</t>
  </si>
  <si>
    <t xml:space="preserve">225 units acquired and rehabbed, including 25 units of bridge housing at approximately $10M for youth with behavioral health needs; increased by $4.6M with transfer from Prevention. </t>
  </si>
  <si>
    <t>Assumes $350K-$400K cost per unit; Prop C funds sufficient to cover full cost, but Committee encourages effort to leverage other public and private resources; siting of projects and lease-up strategies need to address racial equity and other equity goals</t>
  </si>
  <si>
    <t xml:space="preserve">Operations and services for 200 youth in new PSH acquisitions adequately funded; plus operations and services for 44 TAY adequately funded; see below for services and operations for youth in behavioral health bridge housing </t>
  </si>
  <si>
    <t>Assumes $20K per unit per year for operations and services in new acquisitions, with 3% annual inflator; plus one-time operating funds for Artmar, partial match for ERAF grant committed in 2020</t>
  </si>
  <si>
    <t>80 additional sheltered and unsheltered youth placed and provided short-term rent subsidies and support services in scattered sites</t>
  </si>
  <si>
    <t>Assumes $47K per person per year</t>
  </si>
  <si>
    <t>Operations and services for 25 youth with behavioral health and other challenges adequately funded</t>
  </si>
  <si>
    <t>Assumes $44K per unit per year for operations and services, with 3% annual inflator</t>
  </si>
  <si>
    <t>50 additional sheltered and unsheltered youth placed and provided rent subsidies and support services in scattered sites (50 new subsidies)</t>
  </si>
  <si>
    <t>Rehousing of Youth/Young Adults; partial year funding from 20-21 funding; ongoing funding through future Fiscal Years</t>
  </si>
  <si>
    <t>TOTALS - TAY</t>
  </si>
  <si>
    <t>Projected Fund Balances - TAY</t>
  </si>
  <si>
    <t>Remaining Balances - TAY</t>
  </si>
  <si>
    <t>Families with Children Population (To receive at least 25% of investments)</t>
  </si>
  <si>
    <t>50 Flex Pool slots for families</t>
  </si>
  <si>
    <t>350-450 units acquired and rehabbed; 350-450 families housed; increased by $5.7M with transfer from Prevention</t>
  </si>
  <si>
    <r>
      <t xml:space="preserve">Assumes $560K cost per unit; OCOH funds to leverage State and Federal matching funds; siting of projects and lease-up strategies need to address racial equity and other equity goals.  </t>
    </r>
    <r>
      <rPr>
        <sz val="11"/>
        <rFont val="Calibri (Body)"/>
      </rPr>
      <t>Can be partnered with affordable housing buildings to add homeless family units.</t>
    </r>
  </si>
  <si>
    <t>Operations and services for 250 families by FY22-23 adequately funded</t>
  </si>
  <si>
    <t>Assumes $30K per unit per year for operations and services, with 3% inflator; assumes partial year operations and services in FY21-22; assumes that OCOH commitment for operating and services commitment will increase up to $13.5M annually in future years as number of leveraged units increase to 450</t>
  </si>
  <si>
    <t>Assumes $40K per family per year</t>
  </si>
  <si>
    <t xml:space="preserve">TOTALS - Families </t>
  </si>
  <si>
    <t>Projected Fund Balances - Families</t>
  </si>
  <si>
    <t>Remaining Balances - Families</t>
  </si>
  <si>
    <t>TOTALS - ALL</t>
  </si>
  <si>
    <t>Projected Fund Balances - ALL</t>
  </si>
  <si>
    <t>Remaining Balances - ALL</t>
  </si>
  <si>
    <t>PERMANENT HOUSING</t>
  </si>
  <si>
    <t>OCOH Ordinance Section</t>
  </si>
  <si>
    <t>1280(A)(ii)</t>
  </si>
  <si>
    <t>1280(A)(i)</t>
  </si>
  <si>
    <t>Acquisition of Homekey Projects (Diva and Granada)</t>
  </si>
  <si>
    <t>Other New PSH Projects Funded with One-Time Funding</t>
  </si>
  <si>
    <t>Other PSH Acquisition and Rehab</t>
  </si>
  <si>
    <t>Operations and Services in New Acquisitions</t>
  </si>
  <si>
    <t>Flexible Housing Subsidy Pool - SIP Rehousing</t>
  </si>
  <si>
    <t>Flexible Housing Subsidy Pool</t>
  </si>
  <si>
    <t xml:space="preserve">Medium-term Subsidies and Workforce Programming
</t>
  </si>
  <si>
    <t>FY21-22 Appropriations</t>
  </si>
  <si>
    <t>TOTALS 
FY20-21 through FY22-23</t>
  </si>
  <si>
    <t>FY20-21 Appropriations</t>
  </si>
  <si>
    <t>FY22-23 Appropriations</t>
  </si>
  <si>
    <t>Reclassification of prior year expenditures from General Fund</t>
  </si>
  <si>
    <t>Reclassification</t>
  </si>
  <si>
    <t>FY20-21 appropriations approved in Board release of reserve, Dec.2020; FY21-22 and FY22-23 represent ongoing cost of initial investments</t>
  </si>
  <si>
    <t>FY20-21 appropriations approved in Board release of reserve, Dec.2020</t>
  </si>
  <si>
    <r>
      <t xml:space="preserve">100 unhoused persons (non-SIP residents), including but not limited to people staying in Safe Sleeping Villages, </t>
    </r>
    <r>
      <rPr>
        <sz val="11"/>
        <rFont val="Calibri"/>
        <family val="2"/>
        <scheme val="minor"/>
      </rPr>
      <t xml:space="preserve">exiting treatment, shelter, street, placed and provided rent subsidies with support services in scattered sites.  </t>
    </r>
  </si>
  <si>
    <t>Rapid Rehousing, including Workforce Services</t>
  </si>
  <si>
    <t>PSH Operations and Services in New Acquisitions</t>
  </si>
  <si>
    <t xml:space="preserve">PSH Acquisition and Rehab, </t>
  </si>
  <si>
    <t>60 subsidies for TAY in SIP hotels, plus workforce funding</t>
  </si>
  <si>
    <t>20 subsidies</t>
  </si>
  <si>
    <r>
      <t xml:space="preserve">PSH Acquisition </t>
    </r>
    <r>
      <rPr>
        <b/>
        <sz val="11"/>
        <rFont val="Calibri"/>
        <family val="2"/>
        <scheme val="minor"/>
      </rPr>
      <t>of at least 70% vacant building &amp; Rehab / New Construction</t>
    </r>
  </si>
  <si>
    <t>PSH Operations and Services in New Acquisitions/construction</t>
  </si>
  <si>
    <t>100 families in SROs</t>
  </si>
  <si>
    <t xml:space="preserve">OCOH original goal included 100 in Flex Pool; BOS moved to separate line item </t>
  </si>
  <si>
    <t xml:space="preserve">300 currently unsheltered families, sheltered families, and families in SROs provided rent subsidies and support services in scattered sites
</t>
  </si>
  <si>
    <t>44 units at the Artmar</t>
  </si>
  <si>
    <t>Operating and services, partial match for ERAF grant committed in 2020</t>
  </si>
  <si>
    <t>Activities for Investment 
(By Populations)</t>
  </si>
  <si>
    <t>Notes / Description of Activities</t>
  </si>
  <si>
    <t>Building the Core Prevention System Serving All Populations</t>
  </si>
  <si>
    <t>PSH Stabilization - Shallow Subsidies</t>
  </si>
  <si>
    <t>PSH Stabilization - Eviction Prevention and Enhanced Clinical Services</t>
  </si>
  <si>
    <t>Population Specific Prevention Strategies</t>
  </si>
  <si>
    <t>Adults, Veterans, and Justice-Involved Adults</t>
  </si>
  <si>
    <t>SIP rehousing only, up to $15K per household</t>
  </si>
  <si>
    <t>Families with minor children</t>
  </si>
  <si>
    <t>Eviction prevention and housing stabilization for justice involved women with children. Committee recommends that HSH does an emergency prioritizaion of this service to prevent loss of service in the system prior to July/FY2021-22</t>
  </si>
  <si>
    <t>At Access Points and/or other locations that serve families experiencing homelessness or housing instability including families fleeing domestic violence, increased amount allowed per household and more flexible uses than current problem-solving, shallow subsidies may be on-going/multiyear, any unspent subpop funds could be reallocated to all populations</t>
  </si>
  <si>
    <t>At Access Points and/or other locations that serve families experiencing homelessness or housing instability including families fleeing domestic violence; job readiness; training; incentives;stipends; earn and learn, modified earn and learn; barrier removal</t>
  </si>
  <si>
    <t>Transition Aged Youth</t>
  </si>
  <si>
    <t>At Access Points and/or other locations that serve families experiencing homelessness or housing instability including families fleeing domestic violence; job readiness; training; incentives/stipends; earn and learn; modified earn and learn; barrier removal</t>
  </si>
  <si>
    <t>At Access Points and/or other locations serving youth/young adults experiencing homelessness or housing instability, up increased amount allowed per household and more flexible uses than current problem-solving, shallow subsidies may be on-going/multiyear, any unspent subpop funds could be reallocated to all populations</t>
  </si>
  <si>
    <t>At Access Points and/or other locations serving youth/young adults experiencing homelessness or housing instability, direct cash transfer up to $15K per household</t>
  </si>
  <si>
    <t>TOTALS</t>
  </si>
  <si>
    <t>Fund Balances</t>
  </si>
  <si>
    <t>Remaining Balances</t>
  </si>
  <si>
    <t>Transfer Balance to Housing</t>
  </si>
  <si>
    <t>Committee recommended transferring portion of balance in Prevention fund to housing acquisition for adults, youth and families.</t>
  </si>
  <si>
    <t>HOMELESSNESS PREVENTION</t>
  </si>
  <si>
    <t>1280(c)</t>
  </si>
  <si>
    <t xml:space="preserve">Proposed by: HSH/MOHCD/CBO Network/Listening Session; Flexible financial assistance and supportive servicess for persons facing a loss of housing, whether on a lease or not; targeted to those most likely to become homeless based on risk factors; overlaps with eviction prevention for those who have a lease but reaches other housing situations and vulnerabilities; flexible supports to preserve housing or find new; at Access Points and/or other locations </t>
  </si>
  <si>
    <t>Proposed by: HSH/MOHCD/CBO Network/Legal Services Network/Listening Sessions; Eviction-related legal services and emergency rental assistance, tenant counseling/ education/ outreach, housing-related mediation, supportive services, households with a lease; behind in rent or facing eviction; prevents loss of current rental housing, destabilization and displacement; targets City's most vulnerable tenants, including formerly homeless households in supportive housing programs and other subsidized housing; may prevent some homelessness but majority won’t become homeless; at Access Points and/or other locations</t>
  </si>
  <si>
    <t>Proposed by: HSH/MOHCD/CBO Network/Listening Sessions; Creative alternative resolutions; flexible assistance; mediation/reunification services; housing location assistance; persons who have already lost housing or will sleep in shelter or outside tonight if not assisted; offered to prevent need for homeless services; may provide temporary or permanent solution; builds on person’s network and resources; may include returning to family or friends; within or outside City; plan to extend services beyond 1-time assistance to include short term rehousing supports; at Access Points and/or other locations</t>
  </si>
  <si>
    <t xml:space="preserve">Proposed by: MYR; Reduce rental cost burden for ~2800 households in PSH paying more than 30% of their income toward rent and putting them at risk of housing instablity. Ongoing </t>
  </si>
  <si>
    <t>Proposed by DPH/HSH/CBO Network; Housing Stabilization focused on permanent supportive housing (inlcudes site-based and scatteres site PSH)  targets City's most vulnerable tenants, including formerly homeless households in supportive housing programs and other subsidized housing; including behavioral health services, and working with eviction-related legal services and emergency rental assistance, tenant counseling/ education/ outreach, housing-related mediation, supportive services to prevent loss of rental housing, destabilization and displacement. This includes 6 months of funding for FY21-22 in order to allow for an inclusive community planning process to determine outcomes and service design prior to any RFP or city department allocation. Planning process should be inclusive of cbos that provide community based behavorial health and permanent supportive housing, and inclusion of CBOs in service devilery models.</t>
  </si>
  <si>
    <t>All Populations: Targeted Homelessness Prevention</t>
  </si>
  <si>
    <t xml:space="preserve">All Populations: Eviction Prevention and Housing Stablization </t>
  </si>
  <si>
    <t xml:space="preserve">All Populations:  Problem Solving / Diversion / Rapid Exit / Problem Solving Plus / Shallow Subsidy </t>
  </si>
  <si>
    <t>Problem Solving / Diversion / Rapid Exit / Problem Solving Plus / Shallow Subsidy for Adults</t>
  </si>
  <si>
    <t xml:space="preserve">Problem Solving Plus for SIP Rehousing </t>
  </si>
  <si>
    <t xml:space="preserve">Flexible and Supportive Workforce Strategies to Exit Homelessness / Ensure Housing Stability for Adults </t>
  </si>
  <si>
    <t xml:space="preserve">Problem Solving / Diversion / Rapid Exit / Shallow Subsidy for Justice Involved </t>
  </si>
  <si>
    <t xml:space="preserve">Problem Solving / Diversion / Rapid Exit / Problem Solving Plus /Shallow Subsidies for Vets </t>
  </si>
  <si>
    <t xml:space="preserve">Eviction Prevention and Housing Stablization for Justice Involved Women with Children </t>
  </si>
  <si>
    <t xml:space="preserve">Problem Solving / Diversion / Rapid Exit / Problem Solving Plus / Shallow Subsidies for Families </t>
  </si>
  <si>
    <t xml:space="preserve">Flexible and Supportive Workforce Strategies to Exit Homelesness/Ensure Housing Stability for for Families </t>
  </si>
  <si>
    <t xml:space="preserve">Flexible and Supportive Workforce Strategies to Exit Homelessness / Ensure Housing Stability for Youth/Young Adults </t>
  </si>
  <si>
    <t xml:space="preserve">Problem Solving / Diversion / Rapid Exit / Problem Solving Plus / Shallow Subsidy for Youth / Young Adults </t>
  </si>
  <si>
    <t xml:space="preserve">Problem Solving/Diversion/Rapid Exit/Problem Solving Plus/Shallow Subsidy for Youth/Young Adults </t>
  </si>
  <si>
    <t>Proposed by Prevention Listening Sessions; At Access Points or other locations serving adults experiencing homelessness or housing instability, increased amount allowed per household and more flexible uses than current problem-solving, shallow subsidies portion may be on-going/mulityear, any unspent subpop funds  could be reallocated to all populations</t>
  </si>
  <si>
    <t>FY20-21 appropriations approved in Board release of reserve, Dec.2020; SIP rehousing only, up to $15K per household</t>
  </si>
  <si>
    <t xml:space="preserve">The following categories reflect interventions recommended by the OCOH Committee. </t>
  </si>
  <si>
    <t>~266-4000 estimated households, pending grant amount</t>
  </si>
  <si>
    <t xml:space="preserve"> ~125-2100  estimated households, pending grant amount</t>
  </si>
  <si>
    <t>~400-6000 estimated households, pending grant amount</t>
  </si>
  <si>
    <t>~133-2000 estimated households, pending grant amount</t>
  </si>
  <si>
    <t>416 estimated households, pending grant amount</t>
  </si>
  <si>
    <t>~11-12 families estimated households, pending grant amount</t>
  </si>
  <si>
    <t>~450-9000 estimated households, pending grant amount</t>
  </si>
  <si>
    <t>~265-4000 estimated households, pending grant amount</t>
  </si>
  <si>
    <t xml:space="preserve"> 100 estimated households, pending grant amount</t>
  </si>
  <si>
    <t>Proposed by Prevention Listening Sessions; At Access Points and/or other locations that serve adults experiencing homelessness or housing instability; job readiness; training; incentives; stipends; earn and learn; modified earn and learn; barrier removal</t>
  </si>
  <si>
    <t>Proposed by OHO/APD/Prevention Listening Sessions; At Access Points and other locations serving justice-involved people experiencing homelessness or housing instability, increased amount allowed per household and more flexible uses than current problem-solving, shallow subsidies may be on-going/multiyear</t>
  </si>
  <si>
    <t>Proposed by Prevention Listening Session/Vets Network/OHO; At Access Points and/or other locations serving veterans  experiencing homelessness or housing instability, increased amount allowed per household and more flexible uses than current problem-solving, shallow subsidies may be on-going/multiyear, any unspent subpop funds could be reallocated to all populations</t>
  </si>
  <si>
    <t>2000 estimated households, pending service design</t>
  </si>
  <si>
    <t>2500 estimated households, pending service design</t>
  </si>
  <si>
    <t>769 estimated households, pending service design</t>
  </si>
  <si>
    <t>~2000 estimated households, pending service design</t>
  </si>
  <si>
    <t>2800 estimated households</t>
  </si>
  <si>
    <t>FY20-21 Expenditures</t>
  </si>
  <si>
    <t xml:space="preserve">Proposed by: Prevention Listening Sessions; The following categories reflect interventions recommended by the OCOH Committee. </t>
  </si>
  <si>
    <t xml:space="preserve">Proposed by: Prevention Listening Sessions; The following categories reflect interventions recommended by the OCOH Committee. Includes Direct Cash Assistance Pilot for TAY. </t>
  </si>
  <si>
    <t>Activity for Investment</t>
  </si>
  <si>
    <t xml:space="preserve">Notes </t>
  </si>
  <si>
    <t>COVID-19 Response</t>
  </si>
  <si>
    <t>120 trailers</t>
  </si>
  <si>
    <t>Aligns with Departments' proposal, costs in FY 22 assumes FEMA resources covering 3 months, including staffing for program</t>
  </si>
  <si>
    <t>Starts at 190 slots and reduces to 63 slots in FY 23</t>
  </si>
  <si>
    <t>Lower than Departments' very first proposal in first year ($18.2 M); includes staffing and demobilization costs, now aligns</t>
  </si>
  <si>
    <t>100 program slots</t>
  </si>
  <si>
    <t>40 program slots</t>
  </si>
  <si>
    <t>50 program slots</t>
  </si>
  <si>
    <t xml:space="preserve">5 hotel rooms per night </t>
  </si>
  <si>
    <t>10 hotel rooms per night</t>
  </si>
  <si>
    <t xml:space="preserve">TOTALS </t>
  </si>
  <si>
    <t>Projected Fund Balances</t>
  </si>
  <si>
    <t xml:space="preserve">Remaining Balances </t>
  </si>
  <si>
    <t>SUMMARY OF PERMANENT HOUSING INVESTMENTS IN FY20-21, FY21-22, AND FY22-23</t>
  </si>
  <si>
    <t>SUMMARY OF HOMELESSNESS PREVENTION INVESTMENTS IN FY20-21, FY21-22, AND FY22-23</t>
  </si>
  <si>
    <t>SUMMARY OF SHELTER AND HYGIENE INVESTMENTS IN FY20-21, FY21-22, AND FY22-23</t>
  </si>
  <si>
    <t xml:space="preserve">Notes 
</t>
  </si>
  <si>
    <t>FY21-22 Expenditures</t>
  </si>
  <si>
    <t>FY20-21 appropriations approved in Board release of reserve, Dec.2020; Represents COVID-19 Shelter Costs: SIP (FY21), Safe Sleep, Trailers ($23.6 million)</t>
  </si>
  <si>
    <t>FY20-21 appropriations approved in Board release of reserve, Dec.2020;</t>
  </si>
  <si>
    <t>2810(B)</t>
  </si>
  <si>
    <t>COVID-19 Shelter Costs: Trailer Program</t>
  </si>
  <si>
    <t>520 beds</t>
  </si>
  <si>
    <t>Ongoing operation costs for Bayview SAFE, TAY, Division Circle Navigation</t>
  </si>
  <si>
    <t>$3m for capital, $3.5 ongoing</t>
  </si>
  <si>
    <t xml:space="preserve">Oasis Hotel, Providence, adds staffing to current operation, no meals, drop-in </t>
  </si>
  <si>
    <t>priority population of justice involved adults; leverages other funding for facility, OCOH funds services</t>
  </si>
  <si>
    <t>vouchers estimated at $164 per night</t>
  </si>
  <si>
    <t>vouchers estimated at $164 per night; can add to access points or other programs.</t>
  </si>
  <si>
    <t>Deficit in FY20-21 solved through FEMA savings</t>
  </si>
  <si>
    <t>Estimated at $165/night per voucher</t>
  </si>
  <si>
    <t>General Population</t>
  </si>
  <si>
    <t>10,000 touchpoints annually</t>
  </si>
  <si>
    <t>Transit to and from several programs targeting homeless clients, including Drug Sobering and MAP</t>
  </si>
  <si>
    <t>Care Coordination and Transition Management (formerly included under SCRT)</t>
  </si>
  <si>
    <t xml:space="preserve">1,500 clients annually </t>
  </si>
  <si>
    <t>Urgent Care &amp; Crisis Diversion Facility (formerly included under SCRT)</t>
  </si>
  <si>
    <t>15 beds, up to 72-hour stays</t>
  </si>
  <si>
    <t>Expand Intensive Case Management Services</t>
  </si>
  <si>
    <t>Expand case management capacity by 865 cases (note: client engagement can last anywhere from 3 months to &gt;2 years of care)</t>
  </si>
  <si>
    <t xml:space="preserve">
Expansion of Intensive Case Management (ICM) services for people with complex behavioral health needs who face barriers to engagement with services and ongoing care. ICM provides an 'anything it takes’ level of care to help clients achieve their goals. ICM programs support clients to identify housing options and overcome barriers to placement into housing and work closely with clients and the homeless response system to navigate Coordinated Entry and the housing placement process.
Outreach and engagement efforts to link clients with care coordination and ICM supports will focus on people experiencing homelessness by developing closer collaborations with resources such as drop-in centers, outreach teams, housing navigation programs, street medicine, and shelters.</t>
  </si>
  <si>
    <r>
      <t xml:space="preserve">Expanded Access to Assessment, Evaluation and Pharmacy / </t>
    </r>
    <r>
      <rPr>
        <b/>
        <i/>
        <sz val="11"/>
        <color theme="1"/>
        <rFont val="Calibri"/>
        <family val="2"/>
        <scheme val="minor"/>
      </rPr>
      <t>Mental Health Service Center</t>
    </r>
  </si>
  <si>
    <t>2,500 Touchpoints</t>
  </si>
  <si>
    <t>Expand Mental Health and Substance Use Treatment Beds</t>
  </si>
  <si>
    <t>132 beds</t>
  </si>
  <si>
    <t>Behavioral Health Services in Permanent Supportive Housing</t>
  </si>
  <si>
    <t xml:space="preserve">2,000 new behavioral health engagements, offering services to people moving into PSH.
600 unduplicated clients will receive in-person on-site behavioral health and/or physical health services from direct service staff
</t>
  </si>
  <si>
    <t xml:space="preserve">The City’s commitment to ensuring that people experiencing homelessness with the greatest vulnerabilities are housed in Permanent Supportive Housing has significantly increased the acuity level of people living in PSH.​ By providing increased health and behavioral health services to homeless individuals in the process of being housed, the City can better support PSH providers in helping people to transition and supporting the clients to stabilize in housing. Services include client assessments  as they're moving into housing and dedicated, direct-service behavioral health and medical staff to provide in-person support to newly housed individuals. Through expanding behavioral health services for people transitioning into PSH and supporting PSH providers, we will increase the percentage of people who successfully transition from unsheltered homeless to PSH. All care coordination services under this programming will begin with people who are currently experiencing homelessness and continue as they stabilize in housing. </t>
  </si>
  <si>
    <t>Overdose Prevention</t>
  </si>
  <si>
    <t xml:space="preserve">3,450 touchpoints </t>
  </si>
  <si>
    <t xml:space="preserve">Will partially fund effort to build on existing services to provide intentional outreach to people who inject and smoke fentanyl, especially those who are using on the streets by: 
- A new collaboration between Street Medicine &amp; EMS-6 called, Street Overdose Response Team, to provide immediate response and intervention to people suffering a non fatal overdose, as well as persistent outreach following the overdose, offering treatment services, and harm reduction resources
- Improving our outpatient services and making them more accessible for people experiencing homelessness through:​
- Low threshold buprenorphine access (including tele-buprenorphine)​
-Contingency Management (incentivizing engagement with services)​
-Expansion of BAART’s Market St. Clinic hours to 24 hours​;
- Providing harm reduction training and clinical support for service providers in high-risk shelter and housing sites​; 
- Expanding access to safe consumption supplies and other harm reduction resources at outpatient behavioral health and primary care clinics; and 
- Increasing access to medications &amp; addiction treatment through expanding street medicine, providing medical care over the telephone, and supporting medication delivery to areas with few pharmacies. 
</t>
  </si>
  <si>
    <t>Increasing Capacity for Local Treatment Beds</t>
  </si>
  <si>
    <t>~180 beds</t>
  </si>
  <si>
    <t xml:space="preserve">
•	Managed Alcohol (estimated 10 beds in FY21-22 and 10 more in FY22-23 with a focus on Latinx/Mayan clients) This is a new program that would be the first of its kind in San Francisco, informed by our experience successfully piloting a managed alcohol option for a small cohort of people with chronic alcohol use disorder who could not safely shelter in place during COVID. 
•	Residential Step-Down (estimated 150 beds) This is an expansion of beds that are highly utilized, are an important step-down from residential treatment. We currently lack sufficient capacity to meet the demand for this level of substance use treatment bed.
•	Up to 20 additional Behavioral Health beds. </t>
  </si>
  <si>
    <t>Site Acquisition for New Beds</t>
  </si>
  <si>
    <t>City-owned sites to house Behavioral Health beds, including Board and Care, to counter further loss of local beds.</t>
  </si>
  <si>
    <r>
      <t xml:space="preserve">24/7 Access to Assessment, Evaluation, Urgent Care / </t>
    </r>
    <r>
      <rPr>
        <b/>
        <i/>
        <sz val="11"/>
        <color theme="1"/>
        <rFont val="Calibri"/>
        <family val="2"/>
        <scheme val="minor"/>
      </rPr>
      <t>Mental Health Service Center 24/7</t>
    </r>
  </si>
  <si>
    <t>&gt;2,500 touchpoints, will depend on program model</t>
  </si>
  <si>
    <t xml:space="preserve">Partially supports the expansion of the Mental Health Services Center detailed above to 24/7 operations in the second year, ensuring access to assessment and treatment on demand at all times to people experience homelessness and substance use disorders. </t>
  </si>
  <si>
    <t>Transgender Mental Health Services</t>
  </si>
  <si>
    <t xml:space="preserve">Model to be developed with community input. Will expand Behavioral Health Services of an existing trans health specialty provider to including programming specifically for transgender people experiencing homelessness. May include specialized care for people pursuing gender affirming surgery and support for people transitioning into PSH. </t>
  </si>
  <si>
    <t xml:space="preserve">Street Medicine Behavioral Health Expansion </t>
  </si>
  <si>
    <t>200 unduplicated clients served with these enhanced services</t>
  </si>
  <si>
    <t xml:space="preserve">Expand Street Medicine team to include Complex Case Management and Behavioral Health Clinicians. Street-based whole person clinical model for people experiencing homlessness utilizing a successful model which engages people, provides a continuity relationship with a care team, and addresses the persons medical and behavioral health team. The team will be based in our new Health Resource Center and work in collaboration with other service and care providers. </t>
  </si>
  <si>
    <r>
      <t xml:space="preserve">New Harm Reduction Therapy Center / </t>
    </r>
    <r>
      <rPr>
        <b/>
        <i/>
        <sz val="11"/>
        <color rgb="FF000000"/>
        <rFont val="Calibri"/>
        <family val="2"/>
        <scheme val="minor"/>
      </rPr>
      <t>New Harm Reduction Therapy Services</t>
    </r>
  </si>
  <si>
    <t>Work with 2000 annually, 1,000 of those on-going sustained relationships and services</t>
  </si>
  <si>
    <t>This would be funded with a $1m reduction in pharmacy proposal and greatly expand access to care for folks on the streets.  Open access clinic and/or drop-in structure including a range of services so that the holistic needs of each person can be met in the moment.  Creation of new site plus expansion of pop up clinics. Include medical, behavioral health and socio economic support to ensure multidisciplinary integrated care.</t>
  </si>
  <si>
    <t>New Co-op Housing</t>
  </si>
  <si>
    <t>6 residents at any one time</t>
  </si>
  <si>
    <r>
      <t xml:space="preserve">Culturally competent, community based Behavioral Health Expansion for CBO partners / </t>
    </r>
    <r>
      <rPr>
        <b/>
        <i/>
        <sz val="11"/>
        <rFont val="Calibri"/>
        <family val="2"/>
        <scheme val="minor"/>
      </rPr>
      <t>Enhancing Provider Capaccity for On-Site Behavioral Health</t>
    </r>
  </si>
  <si>
    <t>1,400 adults and 75 children unduplicated served with these enhanced services</t>
  </si>
  <si>
    <t>Funds community based homeless providers to build up behavioral staff that is continuously on-site.  Intention is to fund CBO's with this to enhance capacity of community based providers to deliver behavioral health at their settings, add childrens therapy/behavioral health, set targets for families and adults, add site based services at drop-ins, shelter.</t>
  </si>
  <si>
    <t>TAY Population</t>
  </si>
  <si>
    <t>10 beds</t>
  </si>
  <si>
    <t>TAY Care Coordination &amp; Case Management</t>
  </si>
  <si>
    <t>Expand case management capacity by 85 cases (note: client engagement can last anywhere from 3 months to &gt;2 years of care)</t>
  </si>
  <si>
    <t>Care coordination and case management exclusively for TAY populations (note: TAY are also not excluded from the General Population care coordination &amp; case management services listed above). This line item is for dedicated TAY programming.</t>
  </si>
  <si>
    <t xml:space="preserve">Model TBD with community input </t>
  </si>
  <si>
    <t>Families with Children Population</t>
  </si>
  <si>
    <t xml:space="preserve">Supports the cost of administering the Mental Health programs </t>
  </si>
  <si>
    <t>This line item is for 12% indirect operating costs to ensure programs are implemented on a timely manner. This includes additional staffing and support for processing new RFPs and contracts, payment processing and cost reporting, facilities (analysis and acquisition), data and IT staff.</t>
  </si>
  <si>
    <t>SUMMARY OF MENTAL HEALTH SERVICES INVESTMENTS IN FY20-21, FY21-22, AND FY22-23</t>
  </si>
  <si>
    <t>Intensive street-based mental health services; Assertive outreach services; peer support</t>
  </si>
  <si>
    <t>Case management services; Assertive outreach services;</t>
  </si>
  <si>
    <t>Residential and drop-in services</t>
  </si>
  <si>
    <t>Case management;  Housing linkage, and referrals into supportive housing with continued intensive case management and mental health services</t>
  </si>
  <si>
    <t>Mental health and substance abuse treatment, including medications; Residential and drop-in services</t>
  </si>
  <si>
    <t>Residential and drop-in services; Specialized temporary and long-term housing;  Mental health and substance abuse treatment, including medications</t>
  </si>
  <si>
    <t>Mental health and substance abuse treatment, including medications; Assertive Outreach Services; Peer Support</t>
  </si>
  <si>
    <t>Specialized temporary and long-term housing, Rental Assistance, housing linkages, supportive housing with intensive case management</t>
  </si>
  <si>
    <t>Intensive street-based mental health services; Assertive outreach services; Case Management; Mental health and substance abuse treatment, including medications</t>
  </si>
  <si>
    <t>Mental health services</t>
  </si>
  <si>
    <t>Specialized temporary and long-term housing, housing linkages, supportive housing with intensive case management</t>
  </si>
  <si>
    <t>Intensive street-based (telehealth) mental health services and case management;  Housing linkage, and referrals into supportive housing with continued intensive case management and mental health services</t>
  </si>
  <si>
    <t>Sec 281(b)(3)</t>
  </si>
  <si>
    <t>This would add another co-operative housing program to our system.  Currently, this has been an innovative way to serve those with mental health stuggles in shared housing with support from case management.  This can be used to purchase a flat or apartment. This would ensure we have some alternative permenent housing options for those with BH needs, instead of relying on Permanent Supportive Housing alone, and balances the BH proposal focus on front end and temporary interventions.</t>
  </si>
  <si>
    <t>Families with children moving into/ and living in HSH's Permanent Supportive Housing units will receive care coordination and behavioral health treatment as described under "Behavioral Health Services in Permanent Supportive Housing"</t>
  </si>
  <si>
    <t>SHELTER AND HYGIENE</t>
  </si>
  <si>
    <t>MENTAL HEALTH SERVICES</t>
  </si>
  <si>
    <t xml:space="preserve">FY20-21 appropriations approved in Board release of reserve, Dec.2020; This would support 2-3 site acquisitions for all the new beds. </t>
  </si>
  <si>
    <t xml:space="preserve">FY20-21 appropriations approved in Board release of reserve, Dec.2020; Increases urgent care capacity by creating a crisis diversion facility and piloting telehealth in the field to expediate initiation of medication treatment and to eliminate wait-times for crisis mental health care. Will accept clients from SCRT, EMS-6, Homeless Outreach Team, and other community partners. </t>
  </si>
  <si>
    <t xml:space="preserve">FY20-21 appropriations approved in Board release of reserve, Dec.2020;  Care Coordination and Transitions Management (CCTM) teams will be a key part of BHS' new Office of Care Coordination. CCTM staff will receive 'warm handoffs' from SCRT and other outreach teams who work directly with people initially encountered in crisis on the street, or on discharge from PES, jail, or another acute setting. This team will work with clients continuously  until they are able to connect with ongoing long-term treatment and services, including housing, benefits and other social supports. </t>
  </si>
  <si>
    <t>FY20-21 appropriations approved in Board release of reserve, Dec.2020; Creates six teams in collaboration with SF Fire Department that provide a 24/7 non-law enforcement response to behavioral health emergencies on the street. Diverts individuals in crisis away from emergency rooms and incarceration into behavioral health treatment. The team has diverted more than 800 calls from law enforcement since launching in December 2020.</t>
  </si>
  <si>
    <t>FY20-21 appropriations approved in Board release of reserve, Dec.2020;  Expansion of evening and weekend hours at the Behavioral Health Access Center (1380 Howard) and BHS Pharmacy. Services are being designed to specifically address the needs of people experiencing homelessness, providing a safe, welcoming environment with assessment, triage, linkage services, and benefits enrollment on a drop-in basis. As part of our overdose response effort, will provide increased access to medications for addiction treatment, including low threshold buprenorphine. Will provide harm reduction education and barrier-free access to naloxone</t>
  </si>
  <si>
    <t xml:space="preserve">FY20-21 appropriations approved in Board release of reserve, Dec.2020;  Supports beds recommended in the bed optimization report and designed to reduce wait-time for residential treatment in our system, especially for those experiencing homelessness. Includes:
•	Locked Subacute (31 beds) 
•	Psychiatric SNF (13 beds) 
•	Board and Care (53 beds) 
•	Mental Health Residential (20 beds)
 Also provides additional funding for a 20-30 bed 24/7 Drug Sobering Center which was the top recommendation from the Meth Task Force and a new program for San Francisco.  </t>
  </si>
  <si>
    <r>
      <t xml:space="preserve">This is a new program that has been developed based on input from TAY clients served in BHS, provider and other community input, and priority service areas articulated by OCOH and others in the stakeholder listening sessions. </t>
    </r>
    <r>
      <rPr>
        <i/>
        <sz val="10"/>
        <color theme="1"/>
        <rFont val="Calibri"/>
        <family val="2"/>
        <scheme val="minor"/>
      </rPr>
      <t>Rounding makes this look different from crosswalk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</si>
</sst>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quot;$&quot;* #,##0.0_);_(&quot;$&quot;* \(#,##0.0\);_(&quot;$&quot;* &quot;-&quot;??_);_(@_)"/>
    <numFmt numFmtId="165" formatCode="_(&quot;$&quot;* #,##0.0_);_(&quot;$&quot;* \(#,##0.0\);_(&quot;$&quot;* &quot;-&quot;?_);_(@_)"/>
    <numFmt numFmtId="166" formatCode="_(&quot;$&quot;* #,##0.0000_);_(&quot;$&quot;* \(#,##0.0000\);_(&quot;$&quot;* &quot;-&quot;?_);_(@_)"/>
    <numFmt numFmtId="167" formatCode="&quot;$&quot;#,##0"/>
    <numFmt numFmtId="168" formatCode="&quot;$&quot;#,##0.00"/>
    <numFmt numFmtId="169" formatCode="_(&quot;$&quot;* #,##0.000_);_(&quot;$&quot;* \(#,##0.000\);_(&quot;$&quot;* &quot;-&quot;?_);_(@_)"/>
    <numFmt numFmtId="170" formatCode="_([$$-409]* #,##0.00_);_([$$-409]* \(#,##0.00\);_([$$-409]* &quot;-&quot;??_);_(@_)"/>
  </numFmts>
  <fonts count="4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0"/>
      <color rgb="FF000000"/>
      <name val="Calibri"/>
      <family val="2"/>
      <scheme val="minor"/>
    </font>
    <font>
      <b/>
      <sz val="11"/>
      <color rgb="FF000000"/>
      <name val="Calibri"/>
      <family val="2"/>
      <scheme val="minor"/>
    </font>
    <font>
      <sz val="10"/>
      <color theme="4"/>
      <name val="Calibri"/>
      <family val="2"/>
      <scheme val="minor"/>
    </font>
    <font>
      <sz val="11"/>
      <color theme="4"/>
      <name val="Calibri"/>
      <family val="2"/>
      <scheme val="minor"/>
    </font>
    <font>
      <sz val="11"/>
      <name val="Calibri"/>
      <family val="2"/>
      <scheme val="minor"/>
    </font>
    <font>
      <b/>
      <sz val="10"/>
      <color theme="1"/>
      <name val="Calibri"/>
      <family val="2"/>
      <scheme val="minor"/>
    </font>
    <font>
      <sz val="11"/>
      <color rgb="FF000000"/>
      <name val="Calibri"/>
      <family val="2"/>
      <scheme val="minor"/>
    </font>
    <font>
      <sz val="9"/>
      <name val="Calibri"/>
      <family val="2"/>
      <scheme val="minor"/>
    </font>
    <font>
      <b/>
      <sz val="11"/>
      <name val="Calibri"/>
      <family val="2"/>
      <scheme val="minor"/>
    </font>
    <font>
      <b/>
      <sz val="11"/>
      <color theme="4"/>
      <name val="Calibri"/>
      <family val="2"/>
      <scheme val="minor"/>
    </font>
    <font>
      <sz val="9"/>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6"/>
      <color theme="0"/>
      <name val="Calibri"/>
      <family val="2"/>
      <scheme val="minor"/>
    </font>
    <font>
      <b/>
      <sz val="11"/>
      <color rgb="FFFFFFFF"/>
      <name val="Calibri"/>
      <family val="2"/>
      <scheme val="minor"/>
    </font>
    <font>
      <b/>
      <sz val="14"/>
      <color rgb="FFFFFFFF"/>
      <name val="Calibri"/>
      <family val="2"/>
      <scheme val="minor"/>
    </font>
    <font>
      <b/>
      <sz val="11"/>
      <color rgb="FFFF0000"/>
      <name val="Calibri"/>
      <family val="2"/>
      <scheme val="minor"/>
    </font>
    <font>
      <sz val="11"/>
      <name val="Calibri (Body)"/>
    </font>
    <font>
      <sz val="12"/>
      <color theme="0"/>
      <name val="Calibri"/>
      <family val="2"/>
      <scheme val="minor"/>
    </font>
    <font>
      <b/>
      <sz val="16"/>
      <color rgb="FFFFFFFF"/>
      <name val="Calibri"/>
      <family val="2"/>
      <scheme val="minor"/>
    </font>
    <font>
      <b/>
      <sz val="12"/>
      <color theme="0"/>
      <name val="Calibri"/>
      <family val="2"/>
      <scheme val="minor"/>
    </font>
    <font>
      <sz val="12"/>
      <color rgb="FF161616"/>
      <name val="Calibri"/>
      <family val="2"/>
      <scheme val="minor"/>
    </font>
    <font>
      <sz val="14"/>
      <color rgb="FF000000"/>
      <name val="Helvetica"/>
      <family val="2"/>
    </font>
    <font>
      <b/>
      <sz val="12"/>
      <name val="Calibri"/>
      <family val="2"/>
      <scheme val="minor"/>
    </font>
    <font>
      <b/>
      <i/>
      <sz val="11"/>
      <color theme="1"/>
      <name val="Calibri"/>
      <family val="2"/>
      <scheme val="minor"/>
    </font>
    <font>
      <b/>
      <i/>
      <sz val="11"/>
      <color rgb="FF000000"/>
      <name val="Calibri"/>
      <family val="2"/>
      <scheme val="minor"/>
    </font>
    <font>
      <b/>
      <i/>
      <sz val="11"/>
      <name val="Calibri"/>
      <family val="2"/>
      <scheme val="minor"/>
    </font>
    <font>
      <sz val="12"/>
      <color theme="0"/>
      <name val="Calibri"/>
      <family val="2"/>
    </font>
    <font>
      <sz val="12"/>
      <color rgb="FF000000"/>
      <name val="Calibri"/>
      <family val="2"/>
      <charset val="1"/>
    </font>
    <font>
      <b/>
      <sz val="12"/>
      <color rgb="FF000000"/>
      <name val="Calibri"/>
      <family val="2"/>
    </font>
    <font>
      <sz val="12"/>
      <name val="Calibri"/>
      <family val="2"/>
      <scheme val="minor"/>
    </font>
    <font>
      <b/>
      <sz val="10"/>
      <color theme="0"/>
      <name val="Calibri"/>
      <family val="2"/>
      <scheme val="minor"/>
    </font>
    <font>
      <i/>
      <sz val="10"/>
      <color theme="1"/>
      <name val="Calibri"/>
      <family val="2"/>
      <scheme val="minor"/>
    </font>
    <font>
      <b/>
      <sz val="12"/>
      <color theme="0"/>
      <name val="Calibri"/>
      <family val="2"/>
    </font>
  </fonts>
  <fills count="28">
    <fill>
      <patternFill patternType="none"/>
    </fill>
    <fill>
      <patternFill patternType="gray125"/>
    </fill>
    <fill>
      <patternFill patternType="solid">
        <fgColor theme="7" tint="0.59999389629810485"/>
        <bgColor indexed="64"/>
      </patternFill>
    </fill>
    <fill>
      <patternFill patternType="solid">
        <fgColor rgb="FFFFE699"/>
        <bgColor indexed="64"/>
      </patternFill>
    </fill>
    <fill>
      <patternFill patternType="solid">
        <fgColor rgb="FFFFC000"/>
        <bgColor indexed="64"/>
      </patternFill>
    </fill>
    <fill>
      <patternFill patternType="solid">
        <fgColor theme="7"/>
        <bgColor indexed="64"/>
      </patternFill>
    </fill>
    <fill>
      <patternFill patternType="solid">
        <fgColor rgb="FFE7E6E6"/>
        <bgColor indexed="64"/>
      </patternFill>
    </fill>
    <fill>
      <patternFill patternType="solid">
        <fgColor theme="2"/>
        <bgColor indexed="64"/>
      </patternFill>
    </fill>
    <fill>
      <patternFill patternType="solid">
        <fgColor rgb="FFFFF2CC"/>
        <bgColor indexed="64"/>
      </patternFill>
    </fill>
    <fill>
      <patternFill patternType="solid">
        <fgColor rgb="FF70AD47"/>
        <bgColor indexed="64"/>
      </patternFill>
    </fill>
    <fill>
      <patternFill patternType="solid">
        <fgColor rgb="FFD9E1F2"/>
        <bgColor indexed="64"/>
      </patternFill>
    </fill>
    <fill>
      <patternFill patternType="solid">
        <fgColor rgb="FF8EA9DB"/>
        <bgColor indexed="64"/>
      </patternFill>
    </fill>
    <fill>
      <patternFill patternType="solid">
        <fgColor rgb="FFFCE4D6"/>
        <bgColor indexed="64"/>
      </patternFill>
    </fill>
    <fill>
      <patternFill patternType="solid">
        <fgColor rgb="FFF4B084"/>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rgb="FF44546A"/>
        <bgColor indexed="64"/>
      </patternFill>
    </fill>
    <fill>
      <patternFill patternType="solid">
        <fgColor theme="3"/>
        <bgColor indexed="64"/>
      </patternFill>
    </fill>
    <fill>
      <patternFill patternType="solid">
        <fgColor theme="7" tint="-0.249977111117893"/>
        <bgColor indexed="64"/>
      </patternFill>
    </fill>
    <fill>
      <patternFill patternType="solid">
        <fgColor theme="5"/>
        <bgColor indexed="64"/>
      </patternFill>
    </fill>
    <fill>
      <patternFill patternType="solid">
        <fgColor theme="9" tint="-0.249977111117893"/>
        <bgColor indexed="64"/>
      </patternFill>
    </fill>
    <fill>
      <patternFill patternType="solid">
        <fgColor rgb="FFFFFFFF"/>
        <bgColor indexed="64"/>
      </patternFill>
    </fill>
  </fills>
  <borders count="23">
    <border>
      <left/>
      <right/>
      <top/>
      <bottom/>
      <diagonal/>
    </border>
    <border>
      <left/>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auto="1"/>
      </left>
      <right/>
      <top/>
      <bottom/>
      <diagonal/>
    </border>
    <border>
      <left/>
      <right style="medium">
        <color auto="1"/>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75">
    <xf numFmtId="0" fontId="0" fillId="0" borderId="0" xfId="0"/>
    <xf numFmtId="0" fontId="3" fillId="0" borderId="0" xfId="0" applyFont="1"/>
    <xf numFmtId="0" fontId="0" fillId="0" borderId="0" xfId="0" applyAlignment="1">
      <alignment wrapText="1"/>
    </xf>
    <xf numFmtId="0" fontId="0" fillId="0" borderId="0" xfId="0" applyAlignment="1">
      <alignment horizontal="center" wrapText="1"/>
    </xf>
    <xf numFmtId="15" fontId="0" fillId="0" borderId="0" xfId="0" applyNumberFormat="1"/>
    <xf numFmtId="0" fontId="0" fillId="0" borderId="0" xfId="0" applyAlignment="1">
      <alignment horizontal="center"/>
    </xf>
    <xf numFmtId="0" fontId="0" fillId="0" borderId="3" xfId="0" applyBorder="1" applyAlignment="1">
      <alignment horizontal="center" wrapText="1"/>
    </xf>
    <xf numFmtId="164" fontId="3" fillId="2" borderId="4" xfId="1" applyNumberFormat="1" applyFont="1" applyFill="1" applyBorder="1"/>
    <xf numFmtId="164" fontId="3" fillId="2" borderId="0" xfId="1" applyNumberFormat="1" applyFont="1" applyFill="1" applyBorder="1"/>
    <xf numFmtId="0" fontId="3" fillId="2" borderId="5" xfId="0" applyFont="1" applyFill="1" applyBorder="1" applyAlignment="1">
      <alignment horizontal="center" wrapText="1"/>
    </xf>
    <xf numFmtId="164" fontId="3" fillId="2" borderId="4" xfId="0" applyNumberFormat="1" applyFont="1" applyFill="1" applyBorder="1" applyAlignment="1">
      <alignment horizontal="center" wrapText="1"/>
    </xf>
    <xf numFmtId="3" fontId="3" fillId="3" borderId="5" xfId="0" applyNumberFormat="1" applyFont="1" applyFill="1" applyBorder="1" applyAlignment="1">
      <alignment horizontal="center" wrapText="1"/>
    </xf>
    <xf numFmtId="165" fontId="3" fillId="3" borderId="4" xfId="0" applyNumberFormat="1" applyFont="1" applyFill="1" applyBorder="1" applyAlignment="1">
      <alignment horizontal="center" wrapText="1"/>
    </xf>
    <xf numFmtId="165" fontId="3" fillId="3" borderId="5" xfId="0" applyNumberFormat="1" applyFont="1" applyFill="1" applyBorder="1" applyAlignment="1">
      <alignment horizontal="center" wrapText="1"/>
    </xf>
    <xf numFmtId="3" fontId="0" fillId="0" borderId="0" xfId="0" applyNumberFormat="1"/>
    <xf numFmtId="0" fontId="3" fillId="5" borderId="6" xfId="0" applyFont="1" applyFill="1" applyBorder="1" applyAlignment="1">
      <alignment wrapText="1"/>
    </xf>
    <xf numFmtId="0" fontId="3" fillId="4" borderId="7" xfId="0" applyFont="1" applyFill="1" applyBorder="1"/>
    <xf numFmtId="0" fontId="3" fillId="4" borderId="6" xfId="0" applyFont="1" applyFill="1" applyBorder="1"/>
    <xf numFmtId="0" fontId="3" fillId="4" borderId="8" xfId="0" applyFont="1" applyFill="1" applyBorder="1" applyAlignment="1">
      <alignment horizontal="center" wrapText="1"/>
    </xf>
    <xf numFmtId="164" fontId="0" fillId="0" borderId="4" xfId="1" applyNumberFormat="1" applyFont="1" applyBorder="1"/>
    <xf numFmtId="164" fontId="0" fillId="0" borderId="0" xfId="1" applyNumberFormat="1" applyFont="1" applyBorder="1"/>
    <xf numFmtId="0" fontId="0" fillId="0" borderId="5" xfId="0" applyBorder="1" applyAlignment="1">
      <alignment horizontal="center" wrapText="1"/>
    </xf>
    <xf numFmtId="164" fontId="8" fillId="6" borderId="4" xfId="1" applyNumberFormat="1" applyFont="1" applyFill="1" applyBorder="1" applyAlignment="1">
      <alignment horizontal="left"/>
    </xf>
    <xf numFmtId="164" fontId="8" fillId="6" borderId="0" xfId="1" applyNumberFormat="1" applyFont="1" applyFill="1" applyBorder="1" applyAlignment="1">
      <alignment horizontal="left"/>
    </xf>
    <xf numFmtId="1" fontId="8" fillId="6" borderId="5" xfId="1" applyNumberFormat="1" applyFont="1" applyFill="1" applyBorder="1" applyAlignment="1">
      <alignment horizontal="center"/>
    </xf>
    <xf numFmtId="164" fontId="10" fillId="0" borderId="4" xfId="1" applyNumberFormat="1" applyFont="1" applyBorder="1" applyAlignment="1">
      <alignment horizontal="left"/>
    </xf>
    <xf numFmtId="164" fontId="0" fillId="0" borderId="4" xfId="1" applyNumberFormat="1" applyFont="1" applyBorder="1" applyAlignment="1">
      <alignment horizontal="left"/>
    </xf>
    <xf numFmtId="164" fontId="0" fillId="0" borderId="0" xfId="1" applyNumberFormat="1" applyFont="1" applyFill="1" applyBorder="1" applyAlignment="1">
      <alignment horizontal="left"/>
    </xf>
    <xf numFmtId="164" fontId="0" fillId="0" borderId="0" xfId="1" applyNumberFormat="1" applyFont="1" applyBorder="1" applyAlignment="1">
      <alignment horizontal="left"/>
    </xf>
    <xf numFmtId="164" fontId="3" fillId="6" borderId="4" xfId="1" applyNumberFormat="1" applyFont="1" applyFill="1" applyBorder="1" applyAlignment="1">
      <alignment horizontal="left"/>
    </xf>
    <xf numFmtId="0" fontId="3" fillId="6" borderId="5" xfId="0" applyFont="1" applyFill="1" applyBorder="1" applyAlignment="1">
      <alignment horizontal="center" wrapText="1"/>
    </xf>
    <xf numFmtId="0" fontId="13" fillId="0" borderId="5" xfId="0" applyFont="1" applyBorder="1" applyAlignment="1">
      <alignment horizontal="center" wrapText="1"/>
    </xf>
    <xf numFmtId="164" fontId="13" fillId="0" borderId="4" xfId="1" applyNumberFormat="1" applyFont="1" applyBorder="1" applyAlignment="1">
      <alignment horizontal="left"/>
    </xf>
    <xf numFmtId="164" fontId="13" fillId="0" borderId="0" xfId="1" applyNumberFormat="1" applyFont="1" applyFill="1" applyBorder="1" applyAlignment="1">
      <alignment horizontal="left"/>
    </xf>
    <xf numFmtId="164" fontId="3" fillId="6" borderId="0" xfId="1" applyNumberFormat="1" applyFont="1" applyFill="1" applyBorder="1" applyAlignment="1">
      <alignment horizontal="left"/>
    </xf>
    <xf numFmtId="1" fontId="3" fillId="6" borderId="5" xfId="1" applyNumberFormat="1" applyFont="1" applyFill="1" applyBorder="1" applyAlignment="1">
      <alignment horizontal="center"/>
    </xf>
    <xf numFmtId="0" fontId="10" fillId="0" borderId="5" xfId="0" applyFont="1" applyBorder="1" applyAlignment="1">
      <alignment horizontal="center" wrapText="1"/>
    </xf>
    <xf numFmtId="164" fontId="11" fillId="0" borderId="4" xfId="1" applyNumberFormat="1" applyFont="1" applyBorder="1" applyAlignment="1">
      <alignment horizontal="left"/>
    </xf>
    <xf numFmtId="164" fontId="11" fillId="0" borderId="0" xfId="1" applyNumberFormat="1" applyFont="1" applyFill="1" applyBorder="1" applyAlignment="1">
      <alignment horizontal="left"/>
    </xf>
    <xf numFmtId="164" fontId="15" fillId="6" borderId="4" xfId="1" applyNumberFormat="1" applyFont="1" applyFill="1" applyBorder="1" applyAlignment="1">
      <alignment horizontal="left"/>
    </xf>
    <xf numFmtId="164" fontId="15" fillId="6" borderId="0" xfId="1" applyNumberFormat="1" applyFont="1" applyFill="1" applyBorder="1" applyAlignment="1">
      <alignment horizontal="left"/>
    </xf>
    <xf numFmtId="1" fontId="15" fillId="6" borderId="5" xfId="1" applyNumberFormat="1" applyFont="1" applyFill="1" applyBorder="1" applyAlignment="1">
      <alignment horizontal="center"/>
    </xf>
    <xf numFmtId="164" fontId="16" fillId="6" borderId="4" xfId="1" applyNumberFormat="1" applyFont="1" applyFill="1" applyBorder="1" applyAlignment="1">
      <alignment horizontal="left"/>
    </xf>
    <xf numFmtId="0" fontId="3" fillId="0" borderId="5" xfId="0" applyFont="1" applyBorder="1" applyAlignment="1">
      <alignment horizontal="center" wrapText="1"/>
    </xf>
    <xf numFmtId="164" fontId="16" fillId="7" borderId="4" xfId="1" applyNumberFormat="1" applyFont="1" applyFill="1" applyBorder="1" applyAlignment="1">
      <alignment horizontal="left"/>
    </xf>
    <xf numFmtId="0" fontId="0" fillId="0" borderId="6" xfId="0" applyBorder="1" applyAlignment="1">
      <alignment wrapText="1"/>
    </xf>
    <xf numFmtId="164" fontId="0" fillId="0" borderId="7" xfId="1" applyNumberFormat="1" applyFont="1" applyBorder="1" applyAlignment="1">
      <alignment horizontal="left"/>
    </xf>
    <xf numFmtId="164" fontId="0" fillId="0" borderId="6" xfId="1" applyNumberFormat="1" applyFont="1" applyBorder="1" applyAlignment="1">
      <alignment horizontal="left"/>
    </xf>
    <xf numFmtId="0" fontId="0" fillId="0" borderId="8" xfId="0" applyBorder="1" applyAlignment="1">
      <alignment horizontal="center" wrapText="1"/>
    </xf>
    <xf numFmtId="164" fontId="0" fillId="0" borderId="4" xfId="1" applyNumberFormat="1" applyFont="1" applyBorder="1" applyAlignment="1">
      <alignment horizontal="right"/>
    </xf>
    <xf numFmtId="164" fontId="0" fillId="0" borderId="0" xfId="1" applyNumberFormat="1" applyFont="1" applyBorder="1" applyAlignment="1">
      <alignment horizontal="right"/>
    </xf>
    <xf numFmtId="165" fontId="8" fillId="4" borderId="7" xfId="0" applyNumberFormat="1" applyFont="1" applyFill="1" applyBorder="1" applyAlignment="1">
      <alignment horizontal="center" wrapText="1"/>
    </xf>
    <xf numFmtId="165" fontId="8" fillId="4" borderId="6" xfId="0" applyNumberFormat="1" applyFont="1" applyFill="1" applyBorder="1" applyAlignment="1">
      <alignment horizontal="center" wrapText="1"/>
    </xf>
    <xf numFmtId="165" fontId="8" fillId="4" borderId="8" xfId="0" applyNumberFormat="1" applyFont="1" applyFill="1" applyBorder="1" applyAlignment="1">
      <alignment horizontal="center" wrapText="1"/>
    </xf>
    <xf numFmtId="164" fontId="3" fillId="6" borderId="4" xfId="1" applyNumberFormat="1" applyFont="1" applyFill="1" applyBorder="1"/>
    <xf numFmtId="164" fontId="3" fillId="6" borderId="0" xfId="1" applyNumberFormat="1" applyFont="1" applyFill="1" applyBorder="1"/>
    <xf numFmtId="164" fontId="11" fillId="0" borderId="0" xfId="1" applyNumberFormat="1" applyFont="1" applyBorder="1"/>
    <xf numFmtId="166" fontId="3" fillId="0" borderId="0" xfId="0" applyNumberFormat="1" applyFont="1"/>
    <xf numFmtId="164" fontId="10" fillId="0" borderId="4" xfId="1" applyNumberFormat="1" applyFont="1" applyBorder="1"/>
    <xf numFmtId="164" fontId="16" fillId="7" borderId="4" xfId="1" applyNumberFormat="1" applyFont="1" applyFill="1" applyBorder="1"/>
    <xf numFmtId="164" fontId="0" fillId="7" borderId="0" xfId="1" applyNumberFormat="1" applyFont="1" applyFill="1" applyBorder="1"/>
    <xf numFmtId="0" fontId="0" fillId="7" borderId="5" xfId="0" applyFill="1" applyBorder="1" applyAlignment="1">
      <alignment horizontal="center" wrapText="1"/>
    </xf>
    <xf numFmtId="164" fontId="0" fillId="0" borderId="7" xfId="1" applyNumberFormat="1" applyFont="1" applyBorder="1"/>
    <xf numFmtId="164" fontId="0" fillId="0" borderId="6" xfId="1" applyNumberFormat="1" applyFont="1" applyBorder="1"/>
    <xf numFmtId="1" fontId="3" fillId="3" borderId="5" xfId="0" applyNumberFormat="1" applyFont="1" applyFill="1" applyBorder="1" applyAlignment="1">
      <alignment horizontal="center" wrapText="1"/>
    </xf>
    <xf numFmtId="0" fontId="3" fillId="4" borderId="6" xfId="0" applyFont="1" applyFill="1" applyBorder="1" applyAlignment="1">
      <alignment wrapText="1"/>
    </xf>
    <xf numFmtId="165" fontId="3" fillId="4" borderId="7" xfId="0" applyNumberFormat="1" applyFont="1" applyFill="1" applyBorder="1" applyAlignment="1">
      <alignment horizontal="center" wrapText="1"/>
    </xf>
    <xf numFmtId="165" fontId="3" fillId="4" borderId="6" xfId="0" applyNumberFormat="1" applyFont="1" applyFill="1" applyBorder="1" applyAlignment="1">
      <alignment horizontal="center" wrapText="1"/>
    </xf>
    <xf numFmtId="165" fontId="3" fillId="4" borderId="8" xfId="0" applyNumberFormat="1" applyFont="1" applyFill="1" applyBorder="1" applyAlignment="1">
      <alignment horizontal="center" wrapText="1"/>
    </xf>
    <xf numFmtId="165" fontId="8" fillId="6" borderId="4" xfId="0" applyNumberFormat="1" applyFont="1" applyFill="1" applyBorder="1" applyAlignment="1">
      <alignment horizontal="center" wrapText="1"/>
    </xf>
    <xf numFmtId="165" fontId="8" fillId="6" borderId="5" xfId="0" applyNumberFormat="1" applyFont="1" applyFill="1" applyBorder="1" applyAlignment="1">
      <alignment horizontal="center" wrapText="1"/>
    </xf>
    <xf numFmtId="164" fontId="11" fillId="0" borderId="4" xfId="1" applyNumberFormat="1" applyFont="1" applyFill="1" applyBorder="1"/>
    <xf numFmtId="164" fontId="0" fillId="0" borderId="4" xfId="1" applyNumberFormat="1" applyFont="1" applyFill="1" applyBorder="1"/>
    <xf numFmtId="164" fontId="0" fillId="0" borderId="0" xfId="1" applyNumberFormat="1" applyFont="1" applyFill="1" applyBorder="1"/>
    <xf numFmtId="164" fontId="3" fillId="0" borderId="4" xfId="1" applyNumberFormat="1" applyFont="1" applyBorder="1"/>
    <xf numFmtId="164" fontId="3" fillId="7" borderId="4" xfId="1" applyNumberFormat="1" applyFont="1" applyFill="1" applyBorder="1"/>
    <xf numFmtId="0" fontId="13" fillId="5" borderId="1" xfId="0" applyFont="1" applyFill="1" applyBorder="1" applyAlignment="1">
      <alignment wrapText="1"/>
    </xf>
    <xf numFmtId="164" fontId="13" fillId="5" borderId="2" xfId="1" applyNumberFormat="1" applyFont="1" applyFill="1" applyBorder="1"/>
    <xf numFmtId="164" fontId="13" fillId="5" borderId="1" xfId="1" applyNumberFormat="1" applyFont="1" applyFill="1" applyBorder="1"/>
    <xf numFmtId="164" fontId="13" fillId="5" borderId="3" xfId="1" applyNumberFormat="1" applyFont="1" applyFill="1" applyBorder="1"/>
    <xf numFmtId="164" fontId="8" fillId="0" borderId="4" xfId="1" applyNumberFormat="1" applyFont="1" applyBorder="1"/>
    <xf numFmtId="164" fontId="8" fillId="0" borderId="0" xfId="1" applyNumberFormat="1" applyFont="1" applyBorder="1"/>
    <xf numFmtId="164" fontId="8" fillId="0" borderId="5" xfId="1" applyNumberFormat="1" applyFont="1" applyBorder="1" applyAlignment="1">
      <alignment horizontal="center"/>
    </xf>
    <xf numFmtId="164" fontId="13" fillId="0" borderId="0" xfId="1" applyNumberFormat="1" applyFont="1" applyBorder="1"/>
    <xf numFmtId="3" fontId="8" fillId="0" borderId="5" xfId="1" applyNumberFormat="1" applyFont="1" applyBorder="1" applyAlignment="1">
      <alignment horizontal="center"/>
    </xf>
    <xf numFmtId="0" fontId="8" fillId="0" borderId="9" xfId="0" applyFont="1" applyBorder="1" applyAlignment="1">
      <alignment wrapText="1"/>
    </xf>
    <xf numFmtId="164" fontId="8" fillId="0" borderId="10" xfId="1" applyNumberFormat="1" applyFont="1" applyBorder="1"/>
    <xf numFmtId="164" fontId="8" fillId="0" borderId="9" xfId="1" applyNumberFormat="1" applyFont="1" applyBorder="1"/>
    <xf numFmtId="164" fontId="8" fillId="0" borderId="11" xfId="1" applyNumberFormat="1" applyFont="1" applyBorder="1" applyAlignment="1">
      <alignment horizontal="center"/>
    </xf>
    <xf numFmtId="164" fontId="8" fillId="8" borderId="4" xfId="1" applyNumberFormat="1" applyFont="1" applyFill="1" applyBorder="1"/>
    <xf numFmtId="164" fontId="8" fillId="8" borderId="0" xfId="1" applyNumberFormat="1" applyFont="1" applyFill="1" applyBorder="1"/>
    <xf numFmtId="164" fontId="8" fillId="8" borderId="5" xfId="1" applyNumberFormat="1" applyFont="1" applyFill="1" applyBorder="1" applyAlignment="1">
      <alignment horizontal="center"/>
    </xf>
    <xf numFmtId="164" fontId="13" fillId="0" borderId="4" xfId="1" applyNumberFormat="1" applyFont="1" applyBorder="1"/>
    <xf numFmtId="164" fontId="13" fillId="0" borderId="5" xfId="1" applyNumberFormat="1" applyFont="1" applyBorder="1" applyAlignment="1">
      <alignment horizontal="center"/>
    </xf>
    <xf numFmtId="0" fontId="13" fillId="0" borderId="6" xfId="0" applyFont="1" applyBorder="1" applyAlignment="1">
      <alignment wrapText="1"/>
    </xf>
    <xf numFmtId="164" fontId="13" fillId="0" borderId="7" xfId="1" applyNumberFormat="1" applyFont="1" applyBorder="1"/>
    <xf numFmtId="164" fontId="13" fillId="0" borderId="6" xfId="1" applyNumberFormat="1" applyFont="1" applyBorder="1"/>
    <xf numFmtId="164" fontId="13" fillId="0" borderId="8" xfId="1" applyNumberFormat="1" applyFont="1" applyBorder="1" applyAlignment="1">
      <alignment horizontal="center"/>
    </xf>
    <xf numFmtId="164" fontId="0" fillId="0" borderId="5" xfId="1" applyNumberFormat="1" applyFont="1" applyBorder="1"/>
    <xf numFmtId="164" fontId="3" fillId="6" borderId="4" xfId="1" applyNumberFormat="1" applyFont="1" applyFill="1" applyBorder="1" applyAlignment="1">
      <alignment horizontal="right"/>
    </xf>
    <xf numFmtId="164" fontId="3" fillId="6" borderId="0" xfId="1" applyNumberFormat="1" applyFont="1" applyFill="1" applyBorder="1" applyAlignment="1">
      <alignment horizontal="right"/>
    </xf>
    <xf numFmtId="164" fontId="10" fillId="0" borderId="4" xfId="1" applyNumberFormat="1" applyFont="1" applyBorder="1" applyAlignment="1">
      <alignment horizontal="right"/>
    </xf>
    <xf numFmtId="0" fontId="10" fillId="0" borderId="0" xfId="0" applyFont="1"/>
    <xf numFmtId="164" fontId="8" fillId="6" borderId="4" xfId="1" applyNumberFormat="1" applyFont="1" applyFill="1" applyBorder="1" applyAlignment="1">
      <alignment horizontal="right"/>
    </xf>
    <xf numFmtId="164" fontId="8" fillId="6" borderId="0" xfId="1" applyNumberFormat="1" applyFont="1" applyFill="1" applyBorder="1" applyAlignment="1">
      <alignment horizontal="right"/>
    </xf>
    <xf numFmtId="0" fontId="8" fillId="6" borderId="5" xfId="0" applyFont="1" applyFill="1" applyBorder="1" applyAlignment="1">
      <alignment horizontal="center" wrapText="1"/>
    </xf>
    <xf numFmtId="0" fontId="0" fillId="6" borderId="5" xfId="0" applyFill="1" applyBorder="1" applyAlignment="1">
      <alignment horizontal="center" wrapText="1"/>
    </xf>
    <xf numFmtId="164" fontId="3" fillId="0" borderId="4" xfId="1" applyNumberFormat="1" applyFont="1" applyBorder="1" applyAlignment="1">
      <alignment horizontal="right"/>
    </xf>
    <xf numFmtId="164" fontId="3" fillId="10" borderId="4" xfId="1" applyNumberFormat="1" applyFont="1" applyFill="1" applyBorder="1"/>
    <xf numFmtId="164" fontId="3" fillId="10" borderId="0" xfId="1" applyNumberFormat="1" applyFont="1" applyFill="1" applyBorder="1"/>
    <xf numFmtId="0" fontId="3" fillId="10" borderId="5" xfId="0" applyFont="1" applyFill="1" applyBorder="1" applyAlignment="1">
      <alignment horizontal="center" wrapText="1"/>
    </xf>
    <xf numFmtId="165" fontId="3" fillId="10" borderId="4" xfId="0" applyNumberFormat="1" applyFont="1" applyFill="1" applyBorder="1" applyAlignment="1">
      <alignment horizontal="center" wrapText="1"/>
    </xf>
    <xf numFmtId="3" fontId="3" fillId="10" borderId="5" xfId="0" applyNumberFormat="1" applyFont="1" applyFill="1" applyBorder="1" applyAlignment="1">
      <alignment horizontal="center" wrapText="1"/>
    </xf>
    <xf numFmtId="165" fontId="3" fillId="10" borderId="5" xfId="0" applyNumberFormat="1" applyFont="1" applyFill="1" applyBorder="1" applyAlignment="1">
      <alignment horizontal="center" wrapText="1"/>
    </xf>
    <xf numFmtId="164" fontId="10" fillId="0" borderId="4" xfId="1" applyNumberFormat="1" applyFont="1" applyFill="1" applyBorder="1" applyAlignment="1">
      <alignment horizontal="center"/>
    </xf>
    <xf numFmtId="164" fontId="10" fillId="0" borderId="0" xfId="1" applyNumberFormat="1" applyFont="1" applyFill="1" applyBorder="1" applyAlignment="1">
      <alignment horizontal="center"/>
    </xf>
    <xf numFmtId="164" fontId="0" fillId="0" borderId="4" xfId="1" applyNumberFormat="1" applyFont="1" applyFill="1" applyBorder="1" applyAlignment="1">
      <alignment horizontal="center"/>
    </xf>
    <xf numFmtId="164" fontId="0" fillId="0" borderId="0" xfId="1" applyNumberFormat="1" applyFont="1" applyFill="1" applyBorder="1" applyAlignment="1">
      <alignment horizontal="center"/>
    </xf>
    <xf numFmtId="164" fontId="0" fillId="0" borderId="4" xfId="1" applyNumberFormat="1" applyFont="1" applyBorder="1" applyAlignment="1">
      <alignment horizontal="center"/>
    </xf>
    <xf numFmtId="164" fontId="0" fillId="0" borderId="0" xfId="1" applyNumberFormat="1" applyFont="1" applyBorder="1" applyAlignment="1">
      <alignment horizontal="center"/>
    </xf>
    <xf numFmtId="164" fontId="3" fillId="6" borderId="4" xfId="1" applyNumberFormat="1" applyFont="1" applyFill="1" applyBorder="1" applyAlignment="1">
      <alignment horizontal="center"/>
    </xf>
    <xf numFmtId="164" fontId="3" fillId="6" borderId="0" xfId="1" applyNumberFormat="1" applyFont="1" applyFill="1" applyBorder="1" applyAlignment="1">
      <alignment horizontal="center"/>
    </xf>
    <xf numFmtId="3" fontId="3" fillId="6" borderId="5" xfId="0" applyNumberFormat="1" applyFont="1" applyFill="1" applyBorder="1" applyAlignment="1">
      <alignment horizontal="center" wrapText="1"/>
    </xf>
    <xf numFmtId="3" fontId="0" fillId="0" borderId="5" xfId="0" applyNumberFormat="1" applyBorder="1" applyAlignment="1">
      <alignment horizontal="center" wrapText="1"/>
    </xf>
    <xf numFmtId="3" fontId="3" fillId="7" borderId="5" xfId="0" applyNumberFormat="1" applyFont="1" applyFill="1" applyBorder="1" applyAlignment="1">
      <alignment horizontal="center" wrapText="1"/>
    </xf>
    <xf numFmtId="164" fontId="16" fillId="6" borderId="4" xfId="1" applyNumberFormat="1" applyFont="1" applyFill="1" applyBorder="1" applyAlignment="1">
      <alignment horizontal="center"/>
    </xf>
    <xf numFmtId="164" fontId="16" fillId="6" borderId="0" xfId="1" applyNumberFormat="1" applyFont="1" applyFill="1" applyBorder="1" applyAlignment="1">
      <alignment horizontal="center"/>
    </xf>
    <xf numFmtId="0" fontId="16" fillId="6" borderId="5" xfId="0" applyFont="1" applyFill="1" applyBorder="1" applyAlignment="1">
      <alignment horizontal="center" wrapText="1"/>
    </xf>
    <xf numFmtId="164" fontId="10" fillId="0" borderId="4" xfId="1" applyNumberFormat="1" applyFont="1" applyBorder="1" applyAlignment="1">
      <alignment horizontal="center"/>
    </xf>
    <xf numFmtId="164" fontId="10" fillId="0" borderId="0" xfId="1" applyNumberFormat="1" applyFont="1" applyBorder="1" applyAlignment="1">
      <alignment horizontal="center"/>
    </xf>
    <xf numFmtId="164" fontId="3" fillId="12" borderId="4" xfId="1" applyNumberFormat="1" applyFont="1" applyFill="1" applyBorder="1"/>
    <xf numFmtId="164" fontId="3" fillId="12" borderId="0" xfId="1" applyNumberFormat="1" applyFont="1" applyFill="1" applyBorder="1"/>
    <xf numFmtId="0" fontId="3" fillId="12" borderId="5" xfId="0" applyFont="1" applyFill="1" applyBorder="1" applyAlignment="1">
      <alignment horizontal="center" wrapText="1"/>
    </xf>
    <xf numFmtId="165" fontId="3" fillId="12" borderId="4" xfId="0" applyNumberFormat="1" applyFont="1" applyFill="1" applyBorder="1" applyAlignment="1">
      <alignment horizontal="center" wrapText="1"/>
    </xf>
    <xf numFmtId="1" fontId="3" fillId="12" borderId="5" xfId="0" applyNumberFormat="1" applyFont="1" applyFill="1" applyBorder="1" applyAlignment="1">
      <alignment horizontal="center" wrapText="1"/>
    </xf>
    <xf numFmtId="165" fontId="3" fillId="12" borderId="5" xfId="0" applyNumberFormat="1" applyFont="1" applyFill="1" applyBorder="1" applyAlignment="1">
      <alignment horizontal="center" wrapText="1"/>
    </xf>
    <xf numFmtId="164" fontId="11" fillId="0" borderId="0" xfId="1" applyNumberFormat="1" applyFont="1" applyFill="1" applyBorder="1" applyAlignment="1">
      <alignment horizontal="center"/>
    </xf>
    <xf numFmtId="164" fontId="15" fillId="7" borderId="0" xfId="1" applyNumberFormat="1" applyFont="1" applyFill="1" applyBorder="1" applyAlignment="1">
      <alignment horizontal="center"/>
    </xf>
    <xf numFmtId="164" fontId="11" fillId="0" borderId="0" xfId="1" applyNumberFormat="1" applyFont="1" applyBorder="1" applyAlignment="1">
      <alignment horizontal="left"/>
    </xf>
    <xf numFmtId="44" fontId="0" fillId="0" borderId="0" xfId="1" applyFont="1"/>
    <xf numFmtId="0" fontId="0" fillId="0" borderId="12" xfId="0" applyBorder="1"/>
    <xf numFmtId="0" fontId="0" fillId="0" borderId="13" xfId="0" applyBorder="1" applyAlignment="1">
      <alignmen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3" fillId="14" borderId="4" xfId="0" applyFont="1" applyFill="1" applyBorder="1"/>
    <xf numFmtId="0" fontId="0" fillId="14" borderId="0" xfId="0" applyFill="1" applyAlignment="1">
      <alignment wrapText="1"/>
    </xf>
    <xf numFmtId="164" fontId="0" fillId="14" borderId="4" xfId="1" applyNumberFormat="1" applyFont="1" applyFill="1" applyBorder="1"/>
    <xf numFmtId="164" fontId="0" fillId="14" borderId="0" xfId="1" applyNumberFormat="1" applyFont="1" applyFill="1" applyBorder="1"/>
    <xf numFmtId="164" fontId="0" fillId="14" borderId="5" xfId="1" applyNumberFormat="1" applyFont="1" applyFill="1" applyBorder="1"/>
    <xf numFmtId="0" fontId="0" fillId="0" borderId="4" xfId="0" applyBorder="1"/>
    <xf numFmtId="3" fontId="0" fillId="0" borderId="5" xfId="1" applyNumberFormat="1" applyFont="1" applyBorder="1"/>
    <xf numFmtId="0" fontId="0" fillId="0" borderId="15" xfId="0" applyBorder="1"/>
    <xf numFmtId="164" fontId="3" fillId="0" borderId="15" xfId="1" applyNumberFormat="1" applyFont="1" applyBorder="1"/>
    <xf numFmtId="164" fontId="3" fillId="0" borderId="16" xfId="1" applyNumberFormat="1" applyFont="1" applyBorder="1"/>
    <xf numFmtId="164" fontId="0" fillId="0" borderId="17" xfId="1" applyNumberFormat="1" applyFont="1" applyBorder="1"/>
    <xf numFmtId="164" fontId="3" fillId="15" borderId="4" xfId="1" applyNumberFormat="1" applyFont="1" applyFill="1" applyBorder="1"/>
    <xf numFmtId="164" fontId="3" fillId="15" borderId="0" xfId="1" applyNumberFormat="1" applyFont="1" applyFill="1" applyBorder="1"/>
    <xf numFmtId="0" fontId="3" fillId="15" borderId="5" xfId="0" applyFont="1" applyFill="1" applyBorder="1" applyAlignment="1">
      <alignment horizontal="center" wrapText="1"/>
    </xf>
    <xf numFmtId="165" fontId="3" fillId="15" borderId="4" xfId="0" applyNumberFormat="1" applyFont="1" applyFill="1" applyBorder="1" applyAlignment="1">
      <alignment horizontal="center" wrapText="1"/>
    </xf>
    <xf numFmtId="1" fontId="3" fillId="15" borderId="5" xfId="0" applyNumberFormat="1" applyFont="1" applyFill="1" applyBorder="1" applyAlignment="1">
      <alignment horizontal="center" wrapText="1"/>
    </xf>
    <xf numFmtId="165" fontId="3" fillId="15" borderId="5" xfId="0" applyNumberFormat="1" applyFont="1" applyFill="1" applyBorder="1" applyAlignment="1">
      <alignment horizontal="center" wrapText="1"/>
    </xf>
    <xf numFmtId="164" fontId="3" fillId="2" borderId="0" xfId="0" applyNumberFormat="1" applyFont="1" applyFill="1" applyBorder="1" applyAlignment="1">
      <alignment horizontal="center" wrapText="1"/>
    </xf>
    <xf numFmtId="165" fontId="3" fillId="3" borderId="0" xfId="0" applyNumberFormat="1" applyFont="1" applyFill="1" applyBorder="1" applyAlignment="1">
      <alignment horizontal="center" wrapText="1"/>
    </xf>
    <xf numFmtId="164" fontId="0" fillId="0" borderId="0" xfId="0" applyNumberFormat="1" applyBorder="1" applyAlignment="1">
      <alignment horizontal="center" wrapText="1"/>
    </xf>
    <xf numFmtId="164" fontId="11" fillId="0" borderId="0" xfId="0" applyNumberFormat="1" applyFont="1" applyBorder="1" applyAlignment="1">
      <alignment horizontal="center" wrapText="1"/>
    </xf>
    <xf numFmtId="165" fontId="8" fillId="6" borderId="0" xfId="0" applyNumberFormat="1" applyFont="1" applyFill="1" applyBorder="1" applyAlignment="1">
      <alignment horizontal="center" wrapText="1"/>
    </xf>
    <xf numFmtId="165" fontId="3" fillId="15" borderId="0" xfId="0" applyNumberFormat="1" applyFont="1" applyFill="1" applyBorder="1" applyAlignment="1">
      <alignment horizontal="center" wrapText="1"/>
    </xf>
    <xf numFmtId="165" fontId="3" fillId="10" borderId="0" xfId="0" applyNumberFormat="1" applyFont="1" applyFill="1" applyBorder="1" applyAlignment="1">
      <alignment horizontal="center" wrapText="1"/>
    </xf>
    <xf numFmtId="164" fontId="3" fillId="12" borderId="0" xfId="0" applyNumberFormat="1" applyFont="1" applyFill="1" applyBorder="1" applyAlignment="1">
      <alignment horizontal="center" wrapText="1"/>
    </xf>
    <xf numFmtId="165" fontId="3" fillId="12" borderId="0" xfId="0" applyNumberFormat="1" applyFont="1" applyFill="1" applyBorder="1" applyAlignment="1">
      <alignment horizontal="center" wrapText="1"/>
    </xf>
    <xf numFmtId="0" fontId="8" fillId="15" borderId="4" xfId="0" applyFont="1" applyFill="1" applyBorder="1"/>
    <xf numFmtId="0" fontId="3" fillId="15" borderId="0" xfId="0" applyFont="1" applyFill="1" applyBorder="1" applyAlignment="1">
      <alignment wrapText="1"/>
    </xf>
    <xf numFmtId="0" fontId="3" fillId="15" borderId="4" xfId="0" applyFont="1" applyFill="1" applyBorder="1"/>
    <xf numFmtId="0" fontId="0" fillId="15" borderId="5" xfId="0" applyFill="1" applyBorder="1" applyAlignment="1">
      <alignment horizontal="center" wrapText="1"/>
    </xf>
    <xf numFmtId="0" fontId="3" fillId="0" borderId="0" xfId="0" applyFont="1" applyBorder="1" applyAlignment="1">
      <alignment wrapText="1"/>
    </xf>
    <xf numFmtId="0" fontId="3" fillId="6" borderId="4" xfId="0" applyFont="1" applyFill="1" applyBorder="1"/>
    <xf numFmtId="0" fontId="3" fillId="6" borderId="0" xfId="0" applyFont="1" applyFill="1" applyBorder="1" applyAlignment="1">
      <alignment wrapText="1"/>
    </xf>
    <xf numFmtId="0" fontId="9" fillId="0" borderId="4" xfId="0" applyFont="1" applyBorder="1"/>
    <xf numFmtId="0" fontId="10" fillId="0" borderId="0" xfId="0" applyFont="1" applyBorder="1" applyAlignment="1">
      <alignment horizontal="left" wrapText="1" indent="1"/>
    </xf>
    <xf numFmtId="0" fontId="14" fillId="0" borderId="5" xfId="0" applyFont="1" applyBorder="1" applyAlignment="1">
      <alignment wrapText="1"/>
    </xf>
    <xf numFmtId="0" fontId="5" fillId="0" borderId="4" xfId="0" applyFont="1" applyBorder="1"/>
    <xf numFmtId="0" fontId="0" fillId="0" borderId="0" xfId="0" applyBorder="1" applyAlignment="1">
      <alignment horizontal="left" wrapText="1" indent="1"/>
    </xf>
    <xf numFmtId="0" fontId="7" fillId="6" borderId="4" xfId="0" applyFont="1" applyFill="1" applyBorder="1"/>
    <xf numFmtId="0" fontId="8" fillId="6" borderId="0" xfId="0" applyFont="1" applyFill="1" applyBorder="1" applyAlignment="1">
      <alignment horizontal="left" wrapText="1"/>
    </xf>
    <xf numFmtId="0" fontId="19" fillId="6" borderId="5" xfId="0" applyFont="1" applyFill="1" applyBorder="1" applyAlignment="1">
      <alignment wrapText="1"/>
    </xf>
    <xf numFmtId="0" fontId="11" fillId="0" borderId="0" xfId="0" applyFont="1" applyBorder="1" applyAlignment="1">
      <alignment horizontal="left" wrapText="1" indent="1"/>
    </xf>
    <xf numFmtId="0" fontId="12" fillId="6" borderId="4" xfId="0" applyFont="1" applyFill="1" applyBorder="1"/>
    <xf numFmtId="0" fontId="20" fillId="0" borderId="5" xfId="0" applyFont="1" applyBorder="1" applyAlignment="1">
      <alignment wrapText="1"/>
    </xf>
    <xf numFmtId="0" fontId="5" fillId="6" borderId="4" xfId="0" applyFont="1" applyFill="1" applyBorder="1"/>
    <xf numFmtId="0" fontId="3" fillId="6" borderId="0" xfId="0" applyFont="1" applyFill="1" applyBorder="1" applyAlignment="1">
      <alignment horizontal="left" wrapText="1"/>
    </xf>
    <xf numFmtId="0" fontId="11" fillId="6" borderId="5" xfId="0" applyFont="1" applyFill="1" applyBorder="1" applyAlignment="1">
      <alignment horizontal="center" wrapText="1"/>
    </xf>
    <xf numFmtId="0" fontId="10" fillId="0" borderId="0" xfId="0" applyFont="1" applyBorder="1" applyAlignment="1">
      <alignment horizontal="left" wrapText="1"/>
    </xf>
    <xf numFmtId="0" fontId="0" fillId="0" borderId="0" xfId="0" applyBorder="1" applyAlignment="1">
      <alignment horizontal="left" wrapText="1"/>
    </xf>
    <xf numFmtId="0" fontId="8" fillId="6" borderId="4" xfId="0" applyFont="1" applyFill="1" applyBorder="1"/>
    <xf numFmtId="0" fontId="8" fillId="6" borderId="0" xfId="0" applyFont="1" applyFill="1" applyBorder="1" applyAlignment="1">
      <alignment wrapText="1"/>
    </xf>
    <xf numFmtId="164" fontId="0" fillId="0" borderId="0" xfId="0" applyNumberFormat="1" applyFill="1" applyBorder="1" applyAlignment="1">
      <alignment horizontal="center" wrapText="1"/>
    </xf>
    <xf numFmtId="0" fontId="3" fillId="2" borderId="4" xfId="0" applyFont="1" applyFill="1" applyBorder="1"/>
    <xf numFmtId="0" fontId="3" fillId="2" borderId="0" xfId="0" applyFont="1" applyFill="1" applyBorder="1" applyAlignment="1">
      <alignment wrapText="1"/>
    </xf>
    <xf numFmtId="0" fontId="3" fillId="3" borderId="4" xfId="0" applyFont="1" applyFill="1" applyBorder="1"/>
    <xf numFmtId="0" fontId="3" fillId="3" borderId="0" xfId="0" applyFont="1" applyFill="1" applyBorder="1" applyAlignment="1">
      <alignment wrapText="1"/>
    </xf>
    <xf numFmtId="0" fontId="0" fillId="3" borderId="5" xfId="0" applyFill="1" applyBorder="1" applyAlignment="1">
      <alignment horizontal="center" wrapText="1"/>
    </xf>
    <xf numFmtId="0" fontId="0" fillId="0" borderId="0" xfId="0" applyBorder="1" applyAlignment="1">
      <alignment wrapText="1"/>
    </xf>
    <xf numFmtId="0" fontId="5" fillId="0" borderId="5" xfId="0" applyFont="1" applyBorder="1" applyAlignment="1">
      <alignment wrapText="1"/>
    </xf>
    <xf numFmtId="0" fontId="7" fillId="6" borderId="5" xfId="0" applyFont="1" applyFill="1" applyBorder="1" applyAlignment="1">
      <alignment wrapText="1"/>
    </xf>
    <xf numFmtId="0" fontId="6" fillId="0" borderId="5" xfId="0" applyFont="1" applyBorder="1" applyAlignment="1">
      <alignment wrapText="1"/>
    </xf>
    <xf numFmtId="0" fontId="12" fillId="6" borderId="5" xfId="0" applyFont="1" applyFill="1" applyBorder="1" applyAlignment="1">
      <alignment wrapText="1"/>
    </xf>
    <xf numFmtId="0" fontId="13" fillId="0" borderId="0" xfId="0" applyFont="1" applyBorder="1" applyAlignment="1">
      <alignment horizontal="left" wrapText="1"/>
    </xf>
    <xf numFmtId="0" fontId="9" fillId="7" borderId="4" xfId="0" applyFont="1" applyFill="1" applyBorder="1"/>
    <xf numFmtId="0" fontId="16" fillId="6" borderId="0" xfId="0" applyFont="1" applyFill="1" applyBorder="1" applyAlignment="1">
      <alignment wrapText="1"/>
    </xf>
    <xf numFmtId="0" fontId="5" fillId="0" borderId="7" xfId="0" applyFont="1" applyBorder="1"/>
    <xf numFmtId="0" fontId="5" fillId="0" borderId="8" xfId="0" applyFont="1" applyBorder="1" applyAlignment="1">
      <alignment wrapText="1"/>
    </xf>
    <xf numFmtId="0" fontId="8" fillId="4" borderId="7" xfId="0" applyFont="1" applyFill="1" applyBorder="1"/>
    <xf numFmtId="0" fontId="13" fillId="4" borderId="8" xfId="0" applyFont="1" applyFill="1" applyBorder="1" applyAlignment="1">
      <alignment horizontal="center" wrapText="1"/>
    </xf>
    <xf numFmtId="0" fontId="0" fillId="0" borderId="7" xfId="0" applyBorder="1"/>
    <xf numFmtId="0" fontId="0" fillId="4" borderId="8" xfId="0" applyFill="1" applyBorder="1" applyAlignment="1">
      <alignment horizontal="center" wrapText="1"/>
    </xf>
    <xf numFmtId="0" fontId="13" fillId="6" borderId="5" xfId="0" applyFont="1" applyFill="1" applyBorder="1" applyAlignment="1">
      <alignment horizontal="center" wrapText="1"/>
    </xf>
    <xf numFmtId="0" fontId="8" fillId="0" borderId="4" xfId="0" applyFont="1" applyFill="1" applyBorder="1"/>
    <xf numFmtId="0" fontId="5" fillId="7" borderId="4" xfId="0" applyFont="1" applyFill="1" applyBorder="1"/>
    <xf numFmtId="0" fontId="3" fillId="7" borderId="0" xfId="0" applyFont="1" applyFill="1" applyBorder="1" applyAlignment="1">
      <alignment wrapText="1"/>
    </xf>
    <xf numFmtId="0" fontId="8" fillId="5" borderId="2" xfId="0" applyFont="1" applyFill="1" applyBorder="1"/>
    <xf numFmtId="0" fontId="13" fillId="5" borderId="3" xfId="0" applyFont="1" applyFill="1" applyBorder="1" applyAlignment="1">
      <alignment horizontal="center" wrapText="1"/>
    </xf>
    <xf numFmtId="0" fontId="13" fillId="0" borderId="4" xfId="0" applyFont="1" applyBorder="1"/>
    <xf numFmtId="0" fontId="8" fillId="0" borderId="0" xfId="0" applyFont="1" applyBorder="1" applyAlignment="1">
      <alignment wrapText="1"/>
    </xf>
    <xf numFmtId="0" fontId="13" fillId="0" borderId="10" xfId="0" applyFont="1" applyBorder="1"/>
    <xf numFmtId="0" fontId="13" fillId="0" borderId="11" xfId="0" applyFont="1" applyBorder="1" applyAlignment="1">
      <alignment horizontal="center" wrapText="1"/>
    </xf>
    <xf numFmtId="0" fontId="13" fillId="8" borderId="4" xfId="0" applyFont="1" applyFill="1" applyBorder="1"/>
    <xf numFmtId="0" fontId="8" fillId="8" borderId="0" xfId="0" applyFont="1" applyFill="1" applyBorder="1" applyAlignment="1">
      <alignment wrapText="1"/>
    </xf>
    <xf numFmtId="0" fontId="13" fillId="8" borderId="5" xfId="0" applyFont="1" applyFill="1" applyBorder="1" applyAlignment="1">
      <alignment horizontal="center" wrapText="1"/>
    </xf>
    <xf numFmtId="0" fontId="13" fillId="0" borderId="0" xfId="0" applyFont="1" applyBorder="1" applyAlignment="1">
      <alignment wrapText="1"/>
    </xf>
    <xf numFmtId="0" fontId="17" fillId="0" borderId="4" xfId="0" applyFont="1" applyBorder="1"/>
    <xf numFmtId="0" fontId="17" fillId="0" borderId="7" xfId="0" applyFont="1" applyBorder="1"/>
    <xf numFmtId="0" fontId="13" fillId="0" borderId="8" xfId="0" applyFont="1" applyBorder="1" applyAlignment="1">
      <alignment horizontal="center" wrapText="1"/>
    </xf>
    <xf numFmtId="0" fontId="6" fillId="0" borderId="4" xfId="0" applyFont="1" applyBorder="1"/>
    <xf numFmtId="0" fontId="8" fillId="10" borderId="4" xfId="0" applyFont="1" applyFill="1" applyBorder="1"/>
    <xf numFmtId="0" fontId="3" fillId="10" borderId="0" xfId="0" applyFont="1" applyFill="1" applyBorder="1" applyAlignment="1">
      <alignment wrapText="1"/>
    </xf>
    <xf numFmtId="0" fontId="3" fillId="10" borderId="4" xfId="0" applyFont="1" applyFill="1" applyBorder="1"/>
    <xf numFmtId="0" fontId="9" fillId="6" borderId="4" xfId="0" applyFont="1" applyFill="1" applyBorder="1"/>
    <xf numFmtId="0" fontId="5" fillId="6" borderId="5" xfId="0" applyFont="1" applyFill="1" applyBorder="1" applyAlignment="1">
      <alignment wrapText="1"/>
    </xf>
    <xf numFmtId="0" fontId="8" fillId="12" borderId="4" xfId="0" applyFont="1" applyFill="1" applyBorder="1"/>
    <xf numFmtId="0" fontId="3" fillId="12" borderId="0" xfId="0" applyFont="1" applyFill="1" applyBorder="1" applyAlignment="1">
      <alignment wrapText="1"/>
    </xf>
    <xf numFmtId="0" fontId="3" fillId="12" borderId="4" xfId="0" applyFont="1" applyFill="1" applyBorder="1"/>
    <xf numFmtId="0" fontId="0" fillId="12" borderId="5" xfId="0" applyFill="1" applyBorder="1" applyAlignment="1">
      <alignment horizontal="center" wrapText="1"/>
    </xf>
    <xf numFmtId="0" fontId="6" fillId="0" borderId="5" xfId="0" applyFont="1" applyBorder="1" applyAlignment="1">
      <alignment horizontal="left" wrapText="1"/>
    </xf>
    <xf numFmtId="0" fontId="8" fillId="6" borderId="12" xfId="0" applyFont="1" applyFill="1" applyBorder="1"/>
    <xf numFmtId="0" fontId="8" fillId="6" borderId="13" xfId="0" applyFont="1" applyFill="1" applyBorder="1" applyAlignment="1">
      <alignment wrapText="1"/>
    </xf>
    <xf numFmtId="164" fontId="8" fillId="6" borderId="12" xfId="1" applyNumberFormat="1" applyFont="1" applyFill="1" applyBorder="1" applyAlignment="1">
      <alignment horizontal="center"/>
    </xf>
    <xf numFmtId="164" fontId="8" fillId="6" borderId="13" xfId="1" applyNumberFormat="1" applyFont="1" applyFill="1" applyBorder="1" applyAlignment="1">
      <alignment horizontal="center"/>
    </xf>
    <xf numFmtId="1" fontId="8" fillId="6" borderId="14" xfId="1" applyNumberFormat="1" applyFont="1" applyFill="1" applyBorder="1" applyAlignment="1">
      <alignment horizontal="center"/>
    </xf>
    <xf numFmtId="0" fontId="8" fillId="6" borderId="14" xfId="0" applyFont="1" applyFill="1" applyBorder="1" applyAlignment="1">
      <alignment horizontal="center" wrapText="1"/>
    </xf>
    <xf numFmtId="0" fontId="5" fillId="16" borderId="5" xfId="0" applyFont="1" applyFill="1" applyBorder="1" applyAlignment="1">
      <alignment horizontal="left" wrapText="1"/>
    </xf>
    <xf numFmtId="0" fontId="5" fillId="15" borderId="5" xfId="0" applyFont="1" applyFill="1" applyBorder="1" applyAlignment="1">
      <alignment horizontal="left" wrapText="1"/>
    </xf>
    <xf numFmtId="164" fontId="11" fillId="0" borderId="4" xfId="1" applyNumberFormat="1" applyFont="1" applyFill="1" applyBorder="1" applyAlignment="1">
      <alignment horizontal="left"/>
    </xf>
    <xf numFmtId="0" fontId="13" fillId="0" borderId="5" xfId="0" applyFont="1" applyFill="1" applyBorder="1" applyAlignment="1">
      <alignment horizontal="center" wrapText="1"/>
    </xf>
    <xf numFmtId="0" fontId="13" fillId="0" borderId="0" xfId="0" applyFont="1" applyBorder="1" applyAlignment="1">
      <alignment horizontal="left" wrapText="1" indent="1"/>
    </xf>
    <xf numFmtId="164" fontId="11" fillId="0" borderId="0" xfId="1" applyNumberFormat="1" applyFont="1" applyBorder="1" applyAlignment="1">
      <alignment horizontal="right"/>
    </xf>
    <xf numFmtId="164" fontId="11" fillId="0" borderId="0" xfId="1" applyNumberFormat="1" applyFont="1" applyFill="1" applyBorder="1" applyAlignment="1">
      <alignment horizontal="right"/>
    </xf>
    <xf numFmtId="164" fontId="8" fillId="0" borderId="4" xfId="1" applyNumberFormat="1" applyFont="1" applyFill="1" applyBorder="1"/>
    <xf numFmtId="0" fontId="3" fillId="0" borderId="0" xfId="0" applyFont="1" applyAlignment="1">
      <alignment wrapText="1"/>
    </xf>
    <xf numFmtId="164" fontId="3" fillId="0" borderId="0" xfId="1" applyNumberFormat="1" applyFont="1" applyBorder="1"/>
    <xf numFmtId="164" fontId="3" fillId="0" borderId="5" xfId="1" applyNumberFormat="1" applyFont="1" applyBorder="1"/>
    <xf numFmtId="0" fontId="3" fillId="0" borderId="16" xfId="0" applyFont="1" applyBorder="1" applyAlignment="1">
      <alignment wrapText="1"/>
    </xf>
    <xf numFmtId="164" fontId="0" fillId="0" borderId="4" xfId="1" applyNumberFormat="1" applyFont="1" applyFill="1" applyBorder="1" applyAlignment="1">
      <alignment horizontal="left"/>
    </xf>
    <xf numFmtId="164" fontId="3" fillId="7" borderId="0" xfId="1" applyNumberFormat="1" applyFont="1" applyFill="1" applyBorder="1"/>
    <xf numFmtId="0" fontId="6" fillId="2" borderId="5" xfId="0" applyFont="1" applyFill="1" applyBorder="1" applyAlignment="1">
      <alignment horizontal="left" wrapText="1"/>
    </xf>
    <xf numFmtId="0" fontId="6" fillId="17" borderId="5" xfId="0" applyFont="1" applyFill="1" applyBorder="1" applyAlignment="1">
      <alignment horizontal="left" wrapText="1"/>
    </xf>
    <xf numFmtId="0" fontId="6" fillId="10" borderId="5" xfId="0" applyFont="1" applyFill="1" applyBorder="1" applyAlignment="1">
      <alignment horizontal="center" wrapText="1"/>
    </xf>
    <xf numFmtId="165" fontId="0" fillId="0" borderId="0" xfId="0" applyNumberFormat="1"/>
    <xf numFmtId="0" fontId="14" fillId="0" borderId="5" xfId="0" applyFont="1" applyFill="1" applyBorder="1" applyAlignment="1">
      <alignment wrapText="1"/>
    </xf>
    <xf numFmtId="0" fontId="5" fillId="0" borderId="0" xfId="0" applyFont="1" applyBorder="1"/>
    <xf numFmtId="164" fontId="11" fillId="0" borderId="4" xfId="1" applyNumberFormat="1" applyFont="1" applyFill="1" applyBorder="1" applyAlignment="1">
      <alignment horizontal="center"/>
    </xf>
    <xf numFmtId="164" fontId="11" fillId="0" borderId="4" xfId="1" applyNumberFormat="1" applyFont="1" applyBorder="1" applyAlignment="1">
      <alignment horizontal="center"/>
    </xf>
    <xf numFmtId="164" fontId="11" fillId="0" borderId="0" xfId="1" applyNumberFormat="1" applyFont="1" applyBorder="1" applyAlignment="1">
      <alignment horizontal="center"/>
    </xf>
    <xf numFmtId="0" fontId="3" fillId="11" borderId="15" xfId="0" applyFont="1" applyFill="1" applyBorder="1"/>
    <xf numFmtId="0" fontId="3" fillId="11" borderId="16" xfId="0" applyFont="1" applyFill="1" applyBorder="1" applyAlignment="1">
      <alignment wrapText="1"/>
    </xf>
    <xf numFmtId="164" fontId="0" fillId="11" borderId="15" xfId="1" applyNumberFormat="1" applyFont="1" applyFill="1" applyBorder="1"/>
    <xf numFmtId="164" fontId="0" fillId="11" borderId="16" xfId="1" applyNumberFormat="1" applyFont="1" applyFill="1" applyBorder="1"/>
    <xf numFmtId="164" fontId="0" fillId="11" borderId="17" xfId="1" applyNumberFormat="1" applyFont="1" applyFill="1" applyBorder="1"/>
    <xf numFmtId="0" fontId="0" fillId="11" borderId="17" xfId="0" applyFill="1" applyBorder="1" applyAlignment="1">
      <alignment horizontal="center" wrapText="1"/>
    </xf>
    <xf numFmtId="0" fontId="1" fillId="0" borderId="0" xfId="0" applyFont="1" applyAlignment="1">
      <alignment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wrapText="1"/>
    </xf>
    <xf numFmtId="0" fontId="21" fillId="18" borderId="21" xfId="0" applyFont="1" applyFill="1" applyBorder="1" applyAlignment="1">
      <alignment horizontal="center" vertical="center" wrapText="1"/>
    </xf>
    <xf numFmtId="0" fontId="27" fillId="0" borderId="0" xfId="0" applyFont="1" applyAlignment="1">
      <alignment wrapText="1"/>
    </xf>
    <xf numFmtId="0" fontId="3" fillId="0" borderId="21" xfId="0" applyFont="1" applyBorder="1" applyAlignment="1">
      <alignment vertical="center" wrapText="1"/>
    </xf>
    <xf numFmtId="167" fontId="1" fillId="0" borderId="21" xfId="0" applyNumberFormat="1" applyFont="1" applyBorder="1" applyAlignment="1">
      <alignment horizontal="center" vertical="center" wrapText="1"/>
    </xf>
    <xf numFmtId="0" fontId="1" fillId="0" borderId="21" xfId="0" applyFont="1" applyBorder="1" applyAlignment="1">
      <alignment vertical="center" wrapText="1"/>
    </xf>
    <xf numFmtId="167" fontId="1" fillId="20" borderId="21" xfId="0" applyNumberFormat="1" applyFont="1" applyFill="1" applyBorder="1" applyAlignment="1">
      <alignment horizontal="center" vertical="center" wrapText="1"/>
    </xf>
    <xf numFmtId="0" fontId="1" fillId="20" borderId="21" xfId="0" applyFont="1" applyFill="1" applyBorder="1" applyAlignment="1">
      <alignment vertical="center" wrapText="1"/>
    </xf>
    <xf numFmtId="0" fontId="1" fillId="0" borderId="0" xfId="0" applyFont="1" applyAlignment="1">
      <alignment vertical="center" wrapText="1"/>
    </xf>
    <xf numFmtId="0" fontId="11" fillId="0" borderId="21" xfId="0" applyFont="1" applyBorder="1" applyAlignment="1">
      <alignment vertical="center" wrapText="1"/>
    </xf>
    <xf numFmtId="0" fontId="3" fillId="21" borderId="21" xfId="0" applyFont="1" applyFill="1" applyBorder="1" applyAlignment="1">
      <alignment horizontal="right" vertical="center" wrapText="1"/>
    </xf>
    <xf numFmtId="167" fontId="3" fillId="21" borderId="21" xfId="0" applyNumberFormat="1" applyFont="1" applyFill="1" applyBorder="1" applyAlignment="1">
      <alignment horizontal="center" vertical="center" wrapText="1"/>
    </xf>
    <xf numFmtId="167" fontId="1" fillId="21" borderId="21" xfId="0" applyNumberFormat="1" applyFont="1" applyFill="1" applyBorder="1" applyAlignment="1">
      <alignment vertical="center" wrapText="1"/>
    </xf>
    <xf numFmtId="0" fontId="1" fillId="21" borderId="21" xfId="0" applyFont="1" applyFill="1" applyBorder="1" applyAlignment="1">
      <alignment vertical="center" wrapText="1"/>
    </xf>
    <xf numFmtId="0" fontId="0" fillId="21" borderId="21" xfId="0" applyFill="1" applyBorder="1"/>
    <xf numFmtId="0" fontId="3" fillId="0" borderId="21" xfId="0" applyFont="1" applyBorder="1" applyAlignment="1">
      <alignment horizontal="right" vertical="center" wrapText="1"/>
    </xf>
    <xf numFmtId="0" fontId="21" fillId="0" borderId="0" xfId="0" applyFont="1" applyAlignment="1">
      <alignment horizontal="center" vertical="center" wrapText="1"/>
    </xf>
    <xf numFmtId="0" fontId="3" fillId="20" borderId="21" xfId="0" applyFont="1" applyFill="1" applyBorder="1" applyAlignment="1">
      <alignment vertical="center" wrapText="1"/>
    </xf>
    <xf numFmtId="0" fontId="3" fillId="7" borderId="21" xfId="0" applyFont="1" applyFill="1" applyBorder="1" applyAlignment="1">
      <alignment horizontal="right" vertical="center" wrapText="1"/>
    </xf>
    <xf numFmtId="167" fontId="3" fillId="7" borderId="21" xfId="0" applyNumberFormat="1" applyFont="1" applyFill="1" applyBorder="1" applyAlignment="1">
      <alignment horizontal="center" vertical="center" wrapText="1"/>
    </xf>
    <xf numFmtId="0" fontId="1" fillId="7" borderId="21" xfId="0" applyFont="1" applyFill="1" applyBorder="1" applyAlignment="1">
      <alignment vertical="center" wrapText="1"/>
    </xf>
    <xf numFmtId="0" fontId="0" fillId="7" borderId="21" xfId="0" applyFill="1" applyBorder="1"/>
    <xf numFmtId="0" fontId="21" fillId="18" borderId="21" xfId="0" applyFont="1" applyFill="1" applyBorder="1" applyAlignment="1">
      <alignment horizontal="right" vertical="center"/>
    </xf>
    <xf numFmtId="167" fontId="21" fillId="18" borderId="21" xfId="0" applyNumberFormat="1" applyFont="1" applyFill="1" applyBorder="1" applyAlignment="1">
      <alignment horizontal="center" vertical="center"/>
    </xf>
    <xf numFmtId="0" fontId="22" fillId="18" borderId="21" xfId="0" applyFont="1" applyFill="1" applyBorder="1"/>
    <xf numFmtId="0" fontId="21" fillId="18" borderId="21" xfId="0" applyFont="1" applyFill="1" applyBorder="1" applyAlignment="1">
      <alignment horizontal="right" vertical="center" wrapText="1"/>
    </xf>
    <xf numFmtId="0" fontId="29" fillId="18" borderId="21" xfId="0" applyFont="1" applyFill="1" applyBorder="1"/>
    <xf numFmtId="167" fontId="21" fillId="18" borderId="21" xfId="0" applyNumberFormat="1" applyFont="1" applyFill="1" applyBorder="1" applyAlignment="1">
      <alignment horizontal="center" vertical="center" wrapText="1"/>
    </xf>
    <xf numFmtId="0" fontId="22" fillId="18" borderId="21" xfId="0" applyFont="1" applyFill="1" applyBorder="1" applyAlignment="1">
      <alignment vertical="center" wrapText="1"/>
    </xf>
    <xf numFmtId="168" fontId="0" fillId="0" borderId="0" xfId="0" applyNumberFormat="1"/>
    <xf numFmtId="167" fontId="0" fillId="0" borderId="0" xfId="0" applyNumberFormat="1"/>
    <xf numFmtId="0" fontId="21" fillId="18" borderId="21" xfId="0" applyFont="1" applyFill="1" applyBorder="1" applyAlignment="1">
      <alignment horizontal="left" vertical="center" wrapText="1"/>
    </xf>
    <xf numFmtId="0" fontId="27" fillId="0" borderId="0" xfId="0" applyFont="1" applyFill="1" applyAlignment="1">
      <alignment wrapText="1"/>
    </xf>
    <xf numFmtId="0" fontId="0" fillId="0" borderId="0" xfId="0" applyFill="1"/>
    <xf numFmtId="0" fontId="3" fillId="13" borderId="4" xfId="0" applyFont="1" applyFill="1" applyBorder="1"/>
    <xf numFmtId="0" fontId="3" fillId="13" borderId="0" xfId="0" applyFont="1" applyFill="1" applyBorder="1" applyAlignment="1">
      <alignment wrapText="1"/>
    </xf>
    <xf numFmtId="164" fontId="0" fillId="13" borderId="4" xfId="1" applyNumberFormat="1" applyFont="1" applyFill="1" applyBorder="1"/>
    <xf numFmtId="164" fontId="0" fillId="13" borderId="0" xfId="1" applyNumberFormat="1" applyFont="1" applyFill="1" applyBorder="1"/>
    <xf numFmtId="164" fontId="0" fillId="13" borderId="5" xfId="1" applyNumberFormat="1" applyFont="1" applyFill="1" applyBorder="1"/>
    <xf numFmtId="0" fontId="0" fillId="13" borderId="5" xfId="0" applyFill="1" applyBorder="1" applyAlignment="1">
      <alignment horizontal="center" wrapText="1"/>
    </xf>
    <xf numFmtId="0" fontId="3" fillId="6" borderId="12" xfId="0" applyFont="1" applyFill="1" applyBorder="1"/>
    <xf numFmtId="0" fontId="3" fillId="6" borderId="13" xfId="0" applyFont="1" applyFill="1" applyBorder="1" applyAlignment="1">
      <alignment wrapText="1"/>
    </xf>
    <xf numFmtId="164" fontId="3" fillId="6" borderId="12" xfId="1" applyNumberFormat="1" applyFont="1" applyFill="1" applyBorder="1" applyAlignment="1">
      <alignment horizontal="center"/>
    </xf>
    <xf numFmtId="164" fontId="3" fillId="6" borderId="13" xfId="1" applyNumberFormat="1" applyFont="1" applyFill="1" applyBorder="1" applyAlignment="1">
      <alignment horizontal="center"/>
    </xf>
    <xf numFmtId="0" fontId="3" fillId="6" borderId="14" xfId="0" applyFont="1" applyFill="1" applyBorder="1" applyAlignment="1">
      <alignment horizontal="center" wrapText="1"/>
    </xf>
    <xf numFmtId="0" fontId="0" fillId="6" borderId="14" xfId="0" applyFill="1" applyBorder="1" applyAlignment="1">
      <alignment horizontal="center" wrapText="1"/>
    </xf>
    <xf numFmtId="0" fontId="11" fillId="0" borderId="0" xfId="0" applyFont="1" applyBorder="1" applyAlignment="1">
      <alignment horizontal="left" wrapText="1"/>
    </xf>
    <xf numFmtId="0" fontId="8" fillId="9" borderId="4" xfId="0" applyFont="1" applyFill="1" applyBorder="1"/>
    <xf numFmtId="0" fontId="8" fillId="9" borderId="0" xfId="0" applyFont="1" applyFill="1" applyBorder="1" applyAlignment="1">
      <alignment wrapText="1"/>
    </xf>
    <xf numFmtId="164" fontId="13" fillId="9" borderId="4" xfId="1" applyNumberFormat="1" applyFont="1" applyFill="1" applyBorder="1"/>
    <xf numFmtId="164" fontId="13" fillId="9" borderId="0" xfId="1" applyNumberFormat="1" applyFont="1" applyFill="1" applyBorder="1"/>
    <xf numFmtId="164" fontId="13" fillId="9" borderId="5" xfId="1" applyNumberFormat="1" applyFont="1" applyFill="1" applyBorder="1"/>
    <xf numFmtId="0" fontId="13" fillId="9" borderId="5" xfId="0" applyFont="1" applyFill="1" applyBorder="1" applyAlignment="1">
      <alignment horizontal="center" wrapText="1"/>
    </xf>
    <xf numFmtId="164" fontId="3" fillId="6" borderId="12" xfId="1" applyNumberFormat="1" applyFont="1" applyFill="1" applyBorder="1" applyAlignment="1">
      <alignment horizontal="right"/>
    </xf>
    <xf numFmtId="164" fontId="3" fillId="6" borderId="13" xfId="1" applyNumberFormat="1" applyFont="1" applyFill="1" applyBorder="1" applyAlignment="1">
      <alignment horizontal="right"/>
    </xf>
    <xf numFmtId="164" fontId="3" fillId="6" borderId="14" xfId="1" applyNumberFormat="1" applyFont="1" applyFill="1" applyBorder="1"/>
    <xf numFmtId="0" fontId="3" fillId="0" borderId="21" xfId="0" applyFont="1" applyFill="1" applyBorder="1" applyAlignment="1">
      <alignment vertical="center" wrapText="1"/>
    </xf>
    <xf numFmtId="167" fontId="3" fillId="0" borderId="21" xfId="0" applyNumberFormat="1" applyFont="1" applyBorder="1" applyAlignment="1">
      <alignment horizontal="center" vertical="center" wrapText="1"/>
    </xf>
    <xf numFmtId="0" fontId="0" fillId="0" borderId="21" xfId="0" applyFont="1" applyBorder="1" applyAlignment="1">
      <alignment vertical="center" wrapText="1"/>
    </xf>
    <xf numFmtId="0" fontId="15" fillId="0" borderId="21" xfId="0" applyFont="1" applyFill="1" applyBorder="1" applyAlignment="1">
      <alignment horizontal="left" vertical="center" wrapText="1"/>
    </xf>
    <xf numFmtId="0" fontId="15" fillId="0" borderId="21" xfId="0" applyFont="1" applyFill="1" applyBorder="1" applyAlignment="1">
      <alignment vertical="center" wrapText="1"/>
    </xf>
    <xf numFmtId="0" fontId="0" fillId="0" borderId="0" xfId="0" applyAlignment="1">
      <alignment vertical="center"/>
    </xf>
    <xf numFmtId="167" fontId="3" fillId="20" borderId="21" xfId="0" applyNumberFormat="1" applyFont="1" applyFill="1" applyBorder="1" applyAlignment="1">
      <alignment horizontal="center" vertical="center" wrapText="1"/>
    </xf>
    <xf numFmtId="169" fontId="3" fillId="3" borderId="0" xfId="0" applyNumberFormat="1" applyFont="1" applyFill="1" applyBorder="1" applyAlignment="1">
      <alignment horizontal="center" wrapText="1"/>
    </xf>
    <xf numFmtId="169" fontId="3" fillId="3" borderId="4" xfId="0" applyNumberFormat="1" applyFont="1" applyFill="1" applyBorder="1" applyAlignment="1">
      <alignment horizontal="center" wrapText="1"/>
    </xf>
    <xf numFmtId="169" fontId="3" fillId="2" borderId="0" xfId="1" applyNumberFormat="1" applyFont="1" applyFill="1" applyBorder="1"/>
    <xf numFmtId="0" fontId="31" fillId="22" borderId="21" xfId="0" applyFont="1" applyFill="1" applyBorder="1" applyAlignment="1">
      <alignment horizontal="center" wrapText="1"/>
    </xf>
    <xf numFmtId="0" fontId="21" fillId="22" borderId="21" xfId="0" applyFont="1" applyFill="1" applyBorder="1" applyAlignment="1">
      <alignment horizontal="center" vertical="center" wrapText="1"/>
    </xf>
    <xf numFmtId="1" fontId="31" fillId="22" borderId="21" xfId="0" applyNumberFormat="1" applyFont="1" applyFill="1" applyBorder="1" applyAlignment="1">
      <alignment horizontal="center" vertical="center" wrapText="1"/>
    </xf>
    <xf numFmtId="0" fontId="31" fillId="18" borderId="21" xfId="0" applyFont="1" applyFill="1" applyBorder="1"/>
    <xf numFmtId="1" fontId="31" fillId="18" borderId="21" xfId="0" applyNumberFormat="1" applyFont="1" applyFill="1" applyBorder="1" applyAlignment="1">
      <alignment horizontal="center" vertical="center" wrapText="1"/>
    </xf>
    <xf numFmtId="167" fontId="0" fillId="0" borderId="21" xfId="1" applyNumberFormat="1" applyFont="1" applyBorder="1" applyAlignment="1">
      <alignment horizontal="center" vertical="center" wrapText="1"/>
    </xf>
    <xf numFmtId="1" fontId="0" fillId="0" borderId="21" xfId="0" applyNumberFormat="1" applyBorder="1" applyAlignment="1">
      <alignment horizontal="center" vertical="center" wrapText="1"/>
    </xf>
    <xf numFmtId="0" fontId="32" fillId="0" borderId="21" xfId="0" applyFont="1" applyBorder="1" applyAlignment="1">
      <alignment horizontal="left" vertical="center" wrapText="1"/>
    </xf>
    <xf numFmtId="0" fontId="0" fillId="0" borderId="21" xfId="0" applyBorder="1" applyAlignment="1">
      <alignment horizontal="left" vertical="center" wrapText="1"/>
    </xf>
    <xf numFmtId="167" fontId="0" fillId="0" borderId="21" xfId="1" applyNumberFormat="1" applyFont="1" applyFill="1" applyBorder="1" applyAlignment="1">
      <alignment horizontal="center" vertical="center" wrapText="1"/>
    </xf>
    <xf numFmtId="0" fontId="31" fillId="18" borderId="21" xfId="0" applyFont="1" applyFill="1" applyBorder="1" applyAlignment="1">
      <alignment horizontal="left" vertical="center" wrapText="1"/>
    </xf>
    <xf numFmtId="0" fontId="29" fillId="18" borderId="21" xfId="0" applyFont="1" applyFill="1" applyBorder="1" applyAlignment="1">
      <alignment vertical="center" wrapText="1"/>
    </xf>
    <xf numFmtId="167" fontId="29" fillId="18" borderId="21" xfId="1" applyNumberFormat="1" applyFont="1" applyFill="1" applyBorder="1" applyAlignment="1">
      <alignment horizontal="center" vertical="center" wrapText="1"/>
    </xf>
    <xf numFmtId="1" fontId="0" fillId="18" borderId="21" xfId="0" applyNumberFormat="1" applyFill="1" applyBorder="1" applyAlignment="1">
      <alignment horizontal="center" vertical="center" wrapText="1"/>
    </xf>
    <xf numFmtId="0" fontId="1" fillId="0" borderId="21" xfId="0" applyFont="1" applyBorder="1" applyAlignment="1">
      <alignment horizontal="left" vertical="center" wrapText="1"/>
    </xf>
    <xf numFmtId="167" fontId="1" fillId="0" borderId="21" xfId="1"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6" fontId="1" fillId="0" borderId="21" xfId="0" applyNumberFormat="1" applyFont="1" applyBorder="1" applyAlignment="1">
      <alignment horizontal="center" vertical="center"/>
    </xf>
    <xf numFmtId="0" fontId="31" fillId="22" borderId="21" xfId="0" applyFont="1" applyFill="1" applyBorder="1" applyAlignment="1">
      <alignment horizontal="right" vertical="center"/>
    </xf>
    <xf numFmtId="167" fontId="31" fillId="22" borderId="21" xfId="1" applyNumberFormat="1" applyFont="1" applyFill="1" applyBorder="1" applyAlignment="1">
      <alignment horizontal="center" vertical="center" wrapText="1"/>
    </xf>
    <xf numFmtId="1" fontId="29" fillId="22" borderId="21" xfId="1" applyNumberFormat="1" applyFont="1" applyFill="1" applyBorder="1" applyAlignment="1">
      <alignment horizontal="center" vertical="center" wrapText="1"/>
    </xf>
    <xf numFmtId="0" fontId="29" fillId="22" borderId="21" xfId="0" applyFont="1" applyFill="1" applyBorder="1" applyAlignment="1">
      <alignment vertical="center"/>
    </xf>
    <xf numFmtId="1" fontId="29" fillId="22" borderId="21" xfId="0" applyNumberFormat="1" applyFont="1" applyFill="1" applyBorder="1" applyAlignment="1">
      <alignment horizontal="center" vertical="center" wrapText="1"/>
    </xf>
    <xf numFmtId="0" fontId="31" fillId="22" borderId="21" xfId="0" applyFont="1" applyFill="1" applyBorder="1" applyAlignment="1">
      <alignment horizontal="right" vertical="center" wrapText="1"/>
    </xf>
    <xf numFmtId="167" fontId="29" fillId="22" borderId="21" xfId="1" applyNumberFormat="1" applyFont="1" applyFill="1" applyBorder="1" applyAlignment="1">
      <alignment horizontal="center" vertical="center" wrapText="1"/>
    </xf>
    <xf numFmtId="0" fontId="29" fillId="22" borderId="21" xfId="0" applyFont="1" applyFill="1" applyBorder="1" applyAlignment="1">
      <alignment horizontal="left" vertical="center" wrapText="1"/>
    </xf>
    <xf numFmtId="170" fontId="0" fillId="0" borderId="0" xfId="1" applyNumberFormat="1" applyFont="1" applyBorder="1" applyAlignment="1">
      <alignment horizontal="center" vertical="center"/>
    </xf>
    <xf numFmtId="1" fontId="0" fillId="0" borderId="0" xfId="0" applyNumberFormat="1" applyAlignment="1">
      <alignment horizontal="center" vertical="center" wrapText="1"/>
    </xf>
    <xf numFmtId="0" fontId="33" fillId="0" borderId="0" xfId="0" applyFont="1"/>
    <xf numFmtId="0" fontId="21" fillId="23" borderId="21" xfId="0" applyFont="1" applyFill="1" applyBorder="1" applyAlignment="1">
      <alignment horizontal="center" vertical="center" wrapText="1"/>
    </xf>
    <xf numFmtId="167" fontId="3" fillId="0" borderId="21" xfId="1" applyNumberFormat="1" applyFont="1" applyBorder="1" applyAlignment="1">
      <alignment horizontal="center" vertical="center" wrapText="1"/>
    </xf>
    <xf numFmtId="167" fontId="3" fillId="0" borderId="21" xfId="1" applyNumberFormat="1" applyFont="1" applyFill="1" applyBorder="1" applyAlignment="1">
      <alignment horizontal="center" vertical="center" wrapText="1"/>
    </xf>
    <xf numFmtId="1" fontId="0" fillId="0" borderId="21" xfId="0" applyNumberFormat="1" applyFill="1" applyBorder="1" applyAlignment="1">
      <alignment horizontal="center" vertical="center" wrapText="1"/>
    </xf>
    <xf numFmtId="167" fontId="31" fillId="18" borderId="21" xfId="1" applyNumberFormat="1" applyFont="1" applyFill="1" applyBorder="1" applyAlignment="1">
      <alignment horizontal="center" vertical="center" wrapText="1"/>
    </xf>
    <xf numFmtId="0" fontId="34" fillId="0" borderId="0" xfId="0" applyFont="1"/>
    <xf numFmtId="0" fontId="21" fillId="18" borderId="21" xfId="0" applyFont="1" applyFill="1" applyBorder="1" applyAlignment="1">
      <alignment vertical="center" wrapText="1"/>
    </xf>
    <xf numFmtId="0" fontId="6" fillId="0" borderId="0" xfId="0" applyFont="1" applyAlignment="1">
      <alignment horizontal="left" wrapText="1"/>
    </xf>
    <xf numFmtId="0" fontId="21" fillId="22" borderId="21" xfId="0" applyFont="1" applyFill="1" applyBorder="1" applyAlignment="1">
      <alignment horizontal="right" vertical="center" wrapText="1"/>
    </xf>
    <xf numFmtId="167" fontId="21" fillId="22" borderId="21" xfId="0" applyNumberFormat="1" applyFont="1" applyFill="1" applyBorder="1" applyAlignment="1">
      <alignment horizontal="center" vertical="center" wrapText="1"/>
    </xf>
    <xf numFmtId="167" fontId="22" fillId="22" borderId="21" xfId="0" applyNumberFormat="1" applyFont="1" applyFill="1" applyBorder="1" applyAlignment="1">
      <alignment vertical="center" wrapText="1"/>
    </xf>
    <xf numFmtId="0" fontId="22" fillId="22" borderId="21" xfId="0" applyFont="1" applyFill="1" applyBorder="1" applyAlignment="1">
      <alignment vertical="center" wrapText="1"/>
    </xf>
    <xf numFmtId="0" fontId="29" fillId="22" borderId="21" xfId="0" applyFont="1" applyFill="1" applyBorder="1"/>
    <xf numFmtId="0" fontId="1" fillId="0" borderId="0" xfId="0" applyFont="1" applyAlignment="1">
      <alignment vertical="center"/>
    </xf>
    <xf numFmtId="168" fontId="6" fillId="0" borderId="0" xfId="0" applyNumberFormat="1" applyFont="1" applyAlignment="1">
      <alignment horizontal="left" wrapText="1"/>
    </xf>
    <xf numFmtId="0" fontId="3" fillId="0" borderId="22" xfId="0" applyFont="1" applyBorder="1" applyAlignment="1">
      <alignment horizontal="left" vertical="center" wrapText="1"/>
    </xf>
    <xf numFmtId="167" fontId="11" fillId="0" borderId="21" xfId="0" applyNumberFormat="1" applyFont="1" applyBorder="1" applyAlignment="1">
      <alignment horizontal="center" vertical="center"/>
    </xf>
    <xf numFmtId="167" fontId="1" fillId="0" borderId="21" xfId="0" applyNumberFormat="1" applyFont="1" applyBorder="1" applyAlignment="1">
      <alignment horizontal="center" vertical="center"/>
    </xf>
    <xf numFmtId="0" fontId="1" fillId="27" borderId="22" xfId="0" applyFont="1" applyFill="1" applyBorder="1" applyAlignment="1">
      <alignment horizontal="left" vertical="center" wrapText="1"/>
    </xf>
    <xf numFmtId="0" fontId="8" fillId="0" borderId="22" xfId="0" applyFont="1" applyBorder="1" applyAlignment="1">
      <alignment horizontal="left" vertical="center" wrapText="1"/>
    </xf>
    <xf numFmtId="0" fontId="1" fillId="27" borderId="22" xfId="0" applyFont="1" applyFill="1" applyBorder="1" applyAlignment="1">
      <alignment vertical="center" wrapText="1"/>
    </xf>
    <xf numFmtId="0" fontId="8" fillId="0" borderId="22" xfId="0" applyFont="1" applyBorder="1" applyAlignment="1">
      <alignment horizontal="left" vertical="center"/>
    </xf>
    <xf numFmtId="0" fontId="1" fillId="27" borderId="21" xfId="0" applyFont="1" applyFill="1" applyBorder="1" applyAlignment="1">
      <alignment vertical="center" wrapText="1"/>
    </xf>
    <xf numFmtId="0" fontId="3"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left" vertical="center" wrapText="1"/>
    </xf>
    <xf numFmtId="0" fontId="5" fillId="0" borderId="21" xfId="0" applyFont="1" applyBorder="1" applyAlignment="1">
      <alignment vertical="center" wrapText="1"/>
    </xf>
    <xf numFmtId="0" fontId="3" fillId="0" borderId="21" xfId="0" applyFont="1" applyBorder="1" applyAlignment="1">
      <alignment horizontal="left" vertical="center" wrapText="1"/>
    </xf>
    <xf numFmtId="16" fontId="1" fillId="0" borderId="21" xfId="0" applyNumberFormat="1" applyFont="1" applyBorder="1" applyAlignment="1">
      <alignment vertical="center" wrapText="1"/>
    </xf>
    <xf numFmtId="0" fontId="15" fillId="0" borderId="21" xfId="0" applyFont="1" applyBorder="1" applyAlignment="1">
      <alignment horizontal="left" vertical="center" wrapText="1"/>
    </xf>
    <xf numFmtId="0" fontId="11" fillId="27" borderId="21" xfId="0" applyFont="1" applyFill="1" applyBorder="1" applyAlignment="1">
      <alignment vertical="center" wrapText="1"/>
    </xf>
    <xf numFmtId="0" fontId="8" fillId="0" borderId="21" xfId="0" applyFont="1" applyBorder="1" applyAlignment="1">
      <alignment vertical="center" wrapText="1"/>
    </xf>
    <xf numFmtId="0" fontId="21" fillId="18" borderId="18" xfId="0" applyFont="1" applyFill="1" applyBorder="1" applyAlignment="1">
      <alignment horizontal="left" vertical="center" wrapText="1"/>
    </xf>
    <xf numFmtId="0" fontId="21" fillId="18" borderId="19" xfId="0" applyFont="1" applyFill="1" applyBorder="1" applyAlignment="1">
      <alignment horizontal="left" vertical="center" wrapText="1"/>
    </xf>
    <xf numFmtId="0" fontId="21" fillId="18" borderId="20" xfId="0" applyFont="1" applyFill="1" applyBorder="1" applyAlignment="1">
      <alignment horizontal="left" vertical="center" wrapText="1"/>
    </xf>
    <xf numFmtId="0" fontId="21" fillId="22" borderId="21" xfId="0" applyFont="1" applyFill="1" applyBorder="1" applyAlignment="1">
      <alignment horizontal="right"/>
    </xf>
    <xf numFmtId="0" fontId="22" fillId="22" borderId="21" xfId="0" applyFont="1" applyFill="1" applyBorder="1"/>
    <xf numFmtId="43" fontId="41" fillId="0" borderId="0" xfId="2" applyFont="1"/>
    <xf numFmtId="167" fontId="1" fillId="0" borderId="22" xfId="0" applyNumberFormat="1" applyFont="1" applyBorder="1" applyAlignment="1">
      <alignment horizontal="center" vertical="center" wrapText="1"/>
    </xf>
    <xf numFmtId="167" fontId="11" fillId="0" borderId="21" xfId="0" applyNumberFormat="1" applyFont="1" applyBorder="1" applyAlignment="1">
      <alignment horizontal="center" vertical="center" wrapText="1"/>
    </xf>
    <xf numFmtId="167" fontId="31" fillId="22" borderId="21" xfId="0" applyNumberFormat="1" applyFont="1" applyFill="1" applyBorder="1" applyAlignment="1">
      <alignment horizontal="center" vertical="center" wrapText="1"/>
    </xf>
    <xf numFmtId="167" fontId="3" fillId="0" borderId="21" xfId="0" applyNumberFormat="1" applyFont="1" applyBorder="1" applyAlignment="1">
      <alignment horizontal="center" vertical="center"/>
    </xf>
    <xf numFmtId="0" fontId="5" fillId="27" borderId="22" xfId="0" applyFont="1" applyFill="1" applyBorder="1" applyAlignment="1">
      <alignment horizontal="left" vertical="center" wrapText="1"/>
    </xf>
    <xf numFmtId="0" fontId="5" fillId="0" borderId="21" xfId="0" quotePrefix="1" applyFont="1" applyBorder="1" applyAlignment="1">
      <alignment vertical="center" wrapText="1"/>
    </xf>
    <xf numFmtId="0" fontId="5" fillId="27" borderId="22" xfId="0" applyFont="1" applyFill="1" applyBorder="1" applyAlignment="1">
      <alignment vertical="center" wrapText="1"/>
    </xf>
    <xf numFmtId="0" fontId="5" fillId="27" borderId="21" xfId="0" applyFont="1" applyFill="1" applyBorder="1" applyAlignment="1">
      <alignment vertical="center" wrapText="1"/>
    </xf>
    <xf numFmtId="0" fontId="42" fillId="18" borderId="21" xfId="0" applyFont="1" applyFill="1" applyBorder="1" applyAlignment="1">
      <alignment horizontal="center" vertical="center" wrapText="1"/>
    </xf>
    <xf numFmtId="0" fontId="21" fillId="18" borderId="18" xfId="0" applyFont="1" applyFill="1" applyBorder="1" applyAlignment="1">
      <alignment vertical="center" wrapText="1"/>
    </xf>
    <xf numFmtId="0" fontId="21" fillId="18" borderId="19" xfId="0" applyFont="1" applyFill="1" applyBorder="1" applyAlignment="1">
      <alignment vertical="center" wrapText="1"/>
    </xf>
    <xf numFmtId="6" fontId="38" fillId="22" borderId="21" xfId="0" applyNumberFormat="1" applyFont="1" applyFill="1" applyBorder="1" applyAlignment="1">
      <alignment horizontal="center" wrapText="1"/>
    </xf>
    <xf numFmtId="0" fontId="39" fillId="22" borderId="21" xfId="0" applyFont="1" applyFill="1" applyBorder="1" applyAlignment="1">
      <alignment wrapText="1"/>
    </xf>
    <xf numFmtId="6" fontId="40" fillId="22" borderId="21" xfId="0" applyNumberFormat="1" applyFont="1" applyFill="1" applyBorder="1" applyAlignment="1">
      <alignment horizontal="center" wrapText="1"/>
    </xf>
    <xf numFmtId="0" fontId="44" fillId="22" borderId="21" xfId="0" applyFont="1" applyFill="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0" borderId="12" xfId="0" applyFont="1" applyBorder="1" applyAlignment="1">
      <alignment horizontal="center" wrapText="1"/>
    </xf>
    <xf numFmtId="0" fontId="4" fillId="0" borderId="14" xfId="0" applyFont="1" applyBorder="1" applyAlignment="1">
      <alignment horizontal="center" wrapText="1"/>
    </xf>
    <xf numFmtId="0" fontId="23" fillId="18" borderId="18" xfId="0" applyFont="1" applyFill="1" applyBorder="1" applyAlignment="1">
      <alignment horizontal="center" wrapText="1"/>
    </xf>
    <xf numFmtId="0" fontId="23" fillId="18" borderId="19" xfId="0" applyFont="1" applyFill="1" applyBorder="1" applyAlignment="1">
      <alignment horizontal="center"/>
    </xf>
    <xf numFmtId="0" fontId="23" fillId="18" borderId="20" xfId="0" applyFont="1" applyFill="1" applyBorder="1" applyAlignment="1">
      <alignment horizontal="center"/>
    </xf>
    <xf numFmtId="0" fontId="24" fillId="24" borderId="21" xfId="0" applyFont="1" applyFill="1" applyBorder="1" applyAlignment="1">
      <alignment horizontal="center" vertical="center" wrapText="1"/>
    </xf>
    <xf numFmtId="0" fontId="21" fillId="18" borderId="21" xfId="0" applyFont="1" applyFill="1" applyBorder="1" applyAlignment="1">
      <alignment horizontal="left" vertical="center" wrapText="1"/>
    </xf>
    <xf numFmtId="0" fontId="23" fillId="18" borderId="19" xfId="0" applyFont="1" applyFill="1" applyBorder="1" applyAlignment="1">
      <alignment horizontal="center" wrapText="1"/>
    </xf>
    <xf numFmtId="0" fontId="23" fillId="18" borderId="20" xfId="0" applyFont="1" applyFill="1" applyBorder="1" applyAlignment="1">
      <alignment horizontal="center" wrapText="1"/>
    </xf>
    <xf numFmtId="0" fontId="30" fillId="19" borderId="18" xfId="0" applyFont="1" applyFill="1" applyBorder="1" applyAlignment="1">
      <alignment horizontal="center" vertical="center" wrapText="1"/>
    </xf>
    <xf numFmtId="0" fontId="30" fillId="19" borderId="19" xfId="0" applyFont="1" applyFill="1" applyBorder="1" applyAlignment="1">
      <alignment horizontal="center" vertical="center" wrapText="1"/>
    </xf>
    <xf numFmtId="0" fontId="30" fillId="19" borderId="20"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30" fillId="26" borderId="18"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20" xfId="0" applyFont="1" applyFill="1" applyBorder="1" applyAlignment="1">
      <alignment horizontal="center" vertical="center" wrapText="1"/>
    </xf>
    <xf numFmtId="0" fontId="16" fillId="6" borderId="15" xfId="0" applyFont="1" applyFill="1" applyBorder="1"/>
    <xf numFmtId="0" fontId="16" fillId="6" borderId="16" xfId="0" applyFont="1" applyFill="1" applyBorder="1" applyAlignment="1">
      <alignment wrapText="1"/>
    </xf>
    <xf numFmtId="164" fontId="16" fillId="6" borderId="15" xfId="1" applyNumberFormat="1" applyFont="1" applyFill="1" applyBorder="1" applyAlignment="1">
      <alignment horizontal="center"/>
    </xf>
    <xf numFmtId="164" fontId="16" fillId="6" borderId="16" xfId="1" applyNumberFormat="1" applyFont="1" applyFill="1" applyBorder="1" applyAlignment="1">
      <alignment horizontal="center"/>
    </xf>
    <xf numFmtId="0" fontId="16" fillId="6" borderId="17" xfId="0" applyFont="1" applyFill="1" applyBorder="1" applyAlignment="1">
      <alignment horizontal="center" wrapText="1"/>
    </xf>
    <xf numFmtId="0" fontId="6" fillId="6" borderId="17" xfId="0" applyFont="1" applyFill="1" applyBorder="1" applyAlignment="1">
      <alignment wrapText="1"/>
    </xf>
    <xf numFmtId="0" fontId="8" fillId="6" borderId="15" xfId="0" applyFont="1" applyFill="1" applyBorder="1"/>
    <xf numFmtId="0" fontId="18" fillId="6" borderId="17" xfId="0" applyFont="1" applyFill="1" applyBorder="1" applyAlignment="1">
      <alignment wrapText="1"/>
    </xf>
    <xf numFmtId="0" fontId="9" fillId="0" borderId="4" xfId="0" applyFont="1" applyFill="1" applyBorder="1"/>
    <xf numFmtId="0" fontId="16" fillId="0" borderId="0" xfId="0" applyFont="1" applyFill="1" applyBorder="1" applyAlignment="1">
      <alignment wrapText="1"/>
    </xf>
    <xf numFmtId="164" fontId="16" fillId="0" borderId="4" xfId="1" applyNumberFormat="1" applyFont="1" applyFill="1" applyBorder="1" applyAlignment="1">
      <alignment horizontal="center"/>
    </xf>
    <xf numFmtId="164" fontId="16" fillId="0" borderId="0" xfId="1" applyNumberFormat="1" applyFont="1" applyFill="1" applyBorder="1" applyAlignment="1">
      <alignment horizontal="center"/>
    </xf>
    <xf numFmtId="0" fontId="16" fillId="0" borderId="5" xfId="0" applyFont="1" applyFill="1" applyBorder="1" applyAlignment="1">
      <alignment horizontal="center" wrapText="1"/>
    </xf>
    <xf numFmtId="0" fontId="5" fillId="0" borderId="5" xfId="0" applyFont="1" applyFill="1" applyBorder="1" applyAlignment="1">
      <alignment wrapText="1"/>
    </xf>
    <xf numFmtId="0" fontId="5" fillId="7" borderId="15" xfId="0" applyFont="1" applyFill="1" applyBorder="1"/>
    <xf numFmtId="0" fontId="10" fillId="7" borderId="16" xfId="0" applyFont="1" applyFill="1" applyBorder="1" applyAlignment="1">
      <alignment horizontal="left" wrapText="1"/>
    </xf>
    <xf numFmtId="164" fontId="16" fillId="7" borderId="15" xfId="1" applyNumberFormat="1" applyFont="1" applyFill="1" applyBorder="1" applyAlignment="1">
      <alignment horizontal="right"/>
    </xf>
    <xf numFmtId="164" fontId="11" fillId="7" borderId="16" xfId="1" applyNumberFormat="1" applyFont="1" applyFill="1" applyBorder="1" applyAlignment="1">
      <alignment horizontal="right"/>
    </xf>
    <xf numFmtId="0" fontId="3" fillId="7" borderId="17" xfId="0" applyFont="1" applyFill="1" applyBorder="1" applyAlignment="1">
      <alignment horizontal="center" wrapText="1"/>
    </xf>
    <xf numFmtId="0" fontId="5" fillId="7" borderId="16" xfId="0" applyFont="1" applyFill="1" applyBorder="1"/>
    <xf numFmtId="164" fontId="16" fillId="0" borderId="4" xfId="1" applyNumberFormat="1" applyFont="1" applyFill="1" applyBorder="1" applyAlignment="1">
      <alignment horizontal="left"/>
    </xf>
    <xf numFmtId="164" fontId="3" fillId="0" borderId="0" xfId="1" applyNumberFormat="1" applyFont="1" applyFill="1" applyBorder="1" applyAlignment="1">
      <alignment horizontal="left"/>
    </xf>
    <xf numFmtId="0" fontId="3" fillId="0" borderId="5" xfId="0" applyFont="1" applyFill="1" applyBorder="1" applyAlignment="1">
      <alignment horizontal="center" wrapText="1"/>
    </xf>
    <xf numFmtId="0" fontId="12" fillId="0" borderId="5" xfId="0" applyFont="1" applyFill="1" applyBorder="1" applyAlignment="1">
      <alignmen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BEC70-76D0-48BD-A256-FB07343376F1}">
  <dimension ref="A1:J202"/>
  <sheetViews>
    <sheetView tabSelected="1" topLeftCell="A152" workbookViewId="0">
      <selection activeCell="C174" sqref="C174"/>
    </sheetView>
  </sheetViews>
  <sheetFormatPr defaultRowHeight="15" outlineLevelRow="2"/>
  <cols>
    <col min="1" max="1" width="11.28515625" customWidth="1"/>
    <col min="2" max="2" width="31.85546875" style="2" customWidth="1"/>
    <col min="3" max="6" width="14" style="3" customWidth="1"/>
    <col min="7" max="7" width="11.28515625" style="3" customWidth="1"/>
    <col min="8" max="8" width="55.42578125" style="3" customWidth="1"/>
    <col min="10" max="19" width="9.28515625" bestFit="1" customWidth="1"/>
  </cols>
  <sheetData>
    <row r="1" spans="1:10">
      <c r="A1" s="1" t="s">
        <v>156</v>
      </c>
    </row>
    <row r="2" spans="1:10" ht="15.75" thickBot="1">
      <c r="A2" s="4">
        <v>44404</v>
      </c>
    </row>
    <row r="3" spans="1:10" ht="15.75" thickBot="1">
      <c r="C3" s="432" t="s">
        <v>157</v>
      </c>
      <c r="D3" s="433"/>
      <c r="E3" s="433"/>
      <c r="F3" s="433"/>
      <c r="G3" s="434"/>
      <c r="I3" s="5"/>
    </row>
    <row r="4" spans="1:10" ht="60">
      <c r="A4" s="435" t="s">
        <v>0</v>
      </c>
      <c r="B4" s="436"/>
      <c r="C4" s="142" t="s">
        <v>153</v>
      </c>
      <c r="D4" s="143" t="s">
        <v>154</v>
      </c>
      <c r="E4" s="143" t="s">
        <v>155</v>
      </c>
      <c r="F4" s="143" t="s">
        <v>134</v>
      </c>
      <c r="G4" s="144" t="s">
        <v>103</v>
      </c>
      <c r="H4" s="144" t="s">
        <v>2</v>
      </c>
    </row>
    <row r="5" spans="1:10">
      <c r="A5" s="197" t="s">
        <v>3</v>
      </c>
      <c r="B5" s="198"/>
      <c r="C5" s="7">
        <v>185.61620055</v>
      </c>
      <c r="D5" s="8">
        <v>91.593149999999994</v>
      </c>
      <c r="E5" s="8">
        <v>97.513420318361995</v>
      </c>
      <c r="F5" s="8">
        <f>SUM(C5:E5)</f>
        <v>374.72277086836198</v>
      </c>
      <c r="G5" s="9"/>
      <c r="H5" s="264"/>
    </row>
    <row r="6" spans="1:10">
      <c r="A6" s="197" t="s">
        <v>108</v>
      </c>
      <c r="B6" s="198"/>
      <c r="C6" s="7">
        <f>C128*-0.55</f>
        <v>5.5518310955085886</v>
      </c>
      <c r="D6" s="8"/>
      <c r="E6" s="8"/>
      <c r="F6" s="8">
        <f t="shared" ref="F6:F8" si="0">SUM(C6:E6)</f>
        <v>5.5518310955085886</v>
      </c>
      <c r="G6" s="9"/>
      <c r="H6" s="264" t="s">
        <v>109</v>
      </c>
    </row>
    <row r="7" spans="1:10">
      <c r="A7" s="199" t="s">
        <v>4</v>
      </c>
      <c r="B7" s="200"/>
      <c r="C7" s="10">
        <f>C10+C14+C18+C22+C25+C27+C29</f>
        <v>-191.10000000000002</v>
      </c>
      <c r="D7" s="162">
        <f>D10+D14+D18+D22+D25+D27+D29</f>
        <v>-91.59</v>
      </c>
      <c r="E7" s="162">
        <f>E10+E14+E18+E22+E25+E27+E29</f>
        <v>-97.503</v>
      </c>
      <c r="F7" s="8">
        <f t="shared" si="0"/>
        <v>-380.19300000000004</v>
      </c>
      <c r="G7" s="11">
        <f>G10+G18+G22</f>
        <v>2051</v>
      </c>
      <c r="H7" s="201"/>
    </row>
    <row r="8" spans="1:10">
      <c r="A8" s="199" t="s">
        <v>5</v>
      </c>
      <c r="B8" s="200"/>
      <c r="C8" s="12">
        <f>C5+C7+C6</f>
        <v>6.8031645508567884E-2</v>
      </c>
      <c r="D8" s="163">
        <f>D5+D7</f>
        <v>3.1499999999908823E-3</v>
      </c>
      <c r="E8" s="163">
        <f>E5+E7</f>
        <v>1.0420318361994418E-2</v>
      </c>
      <c r="F8" s="8">
        <f t="shared" si="0"/>
        <v>8.1601963870553185E-2</v>
      </c>
      <c r="G8" s="13"/>
      <c r="H8" s="201"/>
      <c r="J8" s="14"/>
    </row>
    <row r="9" spans="1:10" ht="15.75" thickBot="1">
      <c r="A9" s="16" t="s">
        <v>6</v>
      </c>
      <c r="B9" s="15"/>
      <c r="C9" s="16"/>
      <c r="D9" s="17"/>
      <c r="E9" s="17"/>
      <c r="F9" s="17"/>
      <c r="G9" s="18"/>
      <c r="H9" s="18"/>
    </row>
    <row r="10" spans="1:10" outlineLevel="1">
      <c r="A10" s="183"/>
      <c r="B10" s="195" t="s">
        <v>7</v>
      </c>
      <c r="C10" s="22">
        <f t="shared" ref="C10:G10" si="1">SUM(C11:C13)</f>
        <v>-11.899999999999999</v>
      </c>
      <c r="D10" s="23">
        <f t="shared" si="1"/>
        <v>-25.890000000000004</v>
      </c>
      <c r="E10" s="23">
        <f t="shared" si="1"/>
        <v>-27.003000000000004</v>
      </c>
      <c r="F10" s="23">
        <f t="shared" ref="F10:F25" si="2">SUM(C10:E10)</f>
        <v>-64.793000000000006</v>
      </c>
      <c r="G10" s="24">
        <f t="shared" si="1"/>
        <v>626</v>
      </c>
      <c r="H10" s="204"/>
    </row>
    <row r="11" spans="1:10" ht="30" outlineLevel="1">
      <c r="A11" s="178" t="s">
        <v>8</v>
      </c>
      <c r="B11" s="192" t="s">
        <v>9</v>
      </c>
      <c r="C11" s="25">
        <v>-1.2</v>
      </c>
      <c r="D11" s="138">
        <v>-2.19</v>
      </c>
      <c r="E11" s="138">
        <v>-4.8029999999999999</v>
      </c>
      <c r="F11" s="138">
        <f t="shared" si="2"/>
        <v>-8.1929999999999996</v>
      </c>
      <c r="G11" s="21"/>
      <c r="H11" s="205" t="s">
        <v>10</v>
      </c>
      <c r="I11" s="1"/>
    </row>
    <row r="12" spans="1:10" ht="30" outlineLevel="1">
      <c r="A12" s="181"/>
      <c r="B12" s="193" t="s">
        <v>11</v>
      </c>
      <c r="C12" s="262">
        <v>-10.7</v>
      </c>
      <c r="D12" s="27">
        <v>-23.700000000000003</v>
      </c>
      <c r="E12" s="27">
        <v>-17.200000000000003</v>
      </c>
      <c r="F12" s="27">
        <f t="shared" si="2"/>
        <v>-51.600000000000009</v>
      </c>
      <c r="G12" s="21">
        <v>339</v>
      </c>
      <c r="H12" s="205" t="s">
        <v>12</v>
      </c>
      <c r="I12" s="1"/>
    </row>
    <row r="13" spans="1:10" ht="30" outlineLevel="1">
      <c r="A13" s="181"/>
      <c r="B13" s="193" t="s">
        <v>13</v>
      </c>
      <c r="C13" s="26"/>
      <c r="D13" s="28">
        <v>0</v>
      </c>
      <c r="E13" s="27">
        <v>-5</v>
      </c>
      <c r="F13" s="27">
        <f t="shared" si="2"/>
        <v>-5</v>
      </c>
      <c r="G13" s="21">
        <v>287</v>
      </c>
      <c r="H13" s="205" t="s">
        <v>93</v>
      </c>
    </row>
    <row r="14" spans="1:10" ht="30" outlineLevel="1">
      <c r="A14" s="187"/>
      <c r="B14" s="177" t="s">
        <v>14</v>
      </c>
      <c r="C14" s="29">
        <f>SUM(C15:C17)</f>
        <v>-70.599999999999994</v>
      </c>
      <c r="D14" s="34">
        <f>SUM(D15:D17)</f>
        <v>-12</v>
      </c>
      <c r="E14" s="34">
        <f>SUM(E15:E17)</f>
        <v>-15.3</v>
      </c>
      <c r="F14" s="34">
        <f t="shared" si="2"/>
        <v>-97.899999999999991</v>
      </c>
      <c r="G14" s="30" t="s">
        <v>15</v>
      </c>
      <c r="H14" s="206"/>
    </row>
    <row r="15" spans="1:10" ht="24.75" outlineLevel="1">
      <c r="A15" s="181"/>
      <c r="B15" s="207" t="s">
        <v>16</v>
      </c>
      <c r="C15" s="252">
        <f>-65</f>
        <v>-65</v>
      </c>
      <c r="D15" s="33">
        <v>-4</v>
      </c>
      <c r="E15" s="33">
        <v>-3.3</v>
      </c>
      <c r="F15" s="33">
        <f t="shared" si="2"/>
        <v>-72.3</v>
      </c>
      <c r="G15" s="253"/>
      <c r="H15" s="180" t="s">
        <v>140</v>
      </c>
    </row>
    <row r="16" spans="1:10" ht="30" outlineLevel="1">
      <c r="A16" s="181"/>
      <c r="B16" s="207" t="s">
        <v>112</v>
      </c>
      <c r="C16" s="252">
        <f>-5.6</f>
        <v>-5.6</v>
      </c>
      <c r="D16" s="33"/>
      <c r="E16" s="33"/>
      <c r="F16" s="33">
        <f t="shared" si="2"/>
        <v>-5.6</v>
      </c>
      <c r="G16" s="31"/>
      <c r="H16" s="180" t="s">
        <v>113</v>
      </c>
    </row>
    <row r="17" spans="1:8" outlineLevel="1">
      <c r="A17" s="181"/>
      <c r="B17" s="207" t="s">
        <v>17</v>
      </c>
      <c r="C17" s="32">
        <v>0</v>
      </c>
      <c r="D17" s="33">
        <v>-8</v>
      </c>
      <c r="E17" s="33">
        <v>-12</v>
      </c>
      <c r="F17" s="33">
        <f t="shared" si="2"/>
        <v>-20</v>
      </c>
      <c r="G17" s="31"/>
      <c r="H17" s="180"/>
    </row>
    <row r="18" spans="1:8" outlineLevel="1">
      <c r="A18" s="187"/>
      <c r="B18" s="190" t="s">
        <v>18</v>
      </c>
      <c r="C18" s="29">
        <f t="shared" ref="C18:G18" si="3">SUM(C19:C21)</f>
        <v>-5.8</v>
      </c>
      <c r="D18" s="34">
        <f t="shared" si="3"/>
        <v>-39</v>
      </c>
      <c r="E18" s="34">
        <f t="shared" si="3"/>
        <v>-43.900000000000006</v>
      </c>
      <c r="F18" s="34">
        <f t="shared" si="2"/>
        <v>-88.7</v>
      </c>
      <c r="G18" s="35">
        <f t="shared" si="3"/>
        <v>1075</v>
      </c>
      <c r="H18" s="206"/>
    </row>
    <row r="19" spans="1:8" outlineLevel="1">
      <c r="A19" s="178" t="s">
        <v>8</v>
      </c>
      <c r="B19" s="192" t="s">
        <v>19</v>
      </c>
      <c r="C19" s="25">
        <v>-5.8</v>
      </c>
      <c r="D19" s="138">
        <v>-12.4</v>
      </c>
      <c r="E19" s="138">
        <v>-12.7</v>
      </c>
      <c r="F19" s="138">
        <f t="shared" si="2"/>
        <v>-30.9</v>
      </c>
      <c r="G19" s="36">
        <v>325</v>
      </c>
      <c r="H19" s="205" t="s">
        <v>20</v>
      </c>
    </row>
    <row r="20" spans="1:8" outlineLevel="1">
      <c r="A20" s="181"/>
      <c r="B20" s="193" t="s">
        <v>19</v>
      </c>
      <c r="C20" s="37">
        <v>0</v>
      </c>
      <c r="D20" s="38">
        <v>-22.6</v>
      </c>
      <c r="E20" s="38">
        <v>-27.200000000000003</v>
      </c>
      <c r="F20" s="38">
        <f t="shared" si="2"/>
        <v>-49.800000000000004</v>
      </c>
      <c r="G20" s="21">
        <v>650</v>
      </c>
      <c r="H20" s="205" t="s">
        <v>114</v>
      </c>
    </row>
    <row r="21" spans="1:8" ht="36.75" outlineLevel="1">
      <c r="A21" s="269"/>
      <c r="B21" s="193" t="s">
        <v>19</v>
      </c>
      <c r="C21" s="37"/>
      <c r="D21" s="38">
        <v>-4</v>
      </c>
      <c r="E21" s="38">
        <v>-4</v>
      </c>
      <c r="F21" s="38">
        <f t="shared" si="2"/>
        <v>-8</v>
      </c>
      <c r="G21" s="21">
        <v>100</v>
      </c>
      <c r="H21" s="205" t="s">
        <v>141</v>
      </c>
    </row>
    <row r="22" spans="1:8" outlineLevel="1">
      <c r="A22" s="187"/>
      <c r="B22" s="177" t="s">
        <v>21</v>
      </c>
      <c r="C22" s="39">
        <f>SUM(C23:C24)</f>
        <v>-4.7</v>
      </c>
      <c r="D22" s="40">
        <f>SUM(D23:D24)</f>
        <v>-14.7</v>
      </c>
      <c r="E22" s="40">
        <f>SUM(E23:E24)</f>
        <v>-11.3</v>
      </c>
      <c r="F22" s="40">
        <f t="shared" si="2"/>
        <v>-30.7</v>
      </c>
      <c r="G22" s="41">
        <f>SUM(G23:G24)</f>
        <v>350</v>
      </c>
      <c r="H22" s="206"/>
    </row>
    <row r="23" spans="1:8" ht="30" outlineLevel="1">
      <c r="A23" s="178" t="s">
        <v>8</v>
      </c>
      <c r="B23" s="192" t="s">
        <v>22</v>
      </c>
      <c r="C23" s="25">
        <v>-4.7</v>
      </c>
      <c r="D23" s="138">
        <v>-6.9</v>
      </c>
      <c r="E23" s="138">
        <v>-5.3</v>
      </c>
      <c r="F23" s="138">
        <f t="shared" si="2"/>
        <v>-16.900000000000002</v>
      </c>
      <c r="G23" s="36">
        <v>165</v>
      </c>
      <c r="H23" s="205" t="s">
        <v>23</v>
      </c>
    </row>
    <row r="24" spans="1:8" ht="30" outlineLevel="1">
      <c r="A24" s="181"/>
      <c r="B24" s="193" t="s">
        <v>22</v>
      </c>
      <c r="C24" s="26">
        <v>0</v>
      </c>
      <c r="D24" s="27">
        <v>-7.8</v>
      </c>
      <c r="E24" s="27">
        <v>-6</v>
      </c>
      <c r="F24" s="27">
        <f t="shared" si="2"/>
        <v>-13.8</v>
      </c>
      <c r="G24" s="21">
        <v>185</v>
      </c>
      <c r="H24" s="205"/>
    </row>
    <row r="25" spans="1:8" outlineLevel="1">
      <c r="A25" s="208" t="s">
        <v>8</v>
      </c>
      <c r="B25" s="209" t="s">
        <v>232</v>
      </c>
      <c r="C25" s="42">
        <v>-91.9</v>
      </c>
      <c r="D25" s="34">
        <v>0</v>
      </c>
      <c r="E25" s="34">
        <v>0</v>
      </c>
      <c r="F25" s="34">
        <f t="shared" si="2"/>
        <v>-91.9</v>
      </c>
      <c r="G25" s="30" t="s">
        <v>24</v>
      </c>
      <c r="H25" s="238" t="s">
        <v>231</v>
      </c>
    </row>
    <row r="26" spans="1:8" outlineLevel="1">
      <c r="A26" s="459"/>
      <c r="B26" s="460"/>
      <c r="C26" s="471"/>
      <c r="D26" s="472"/>
      <c r="E26" s="472"/>
      <c r="F26" s="472"/>
      <c r="G26" s="473"/>
      <c r="H26" s="464"/>
    </row>
    <row r="27" spans="1:8" ht="30" outlineLevel="1">
      <c r="A27" s="208" t="s">
        <v>8</v>
      </c>
      <c r="B27" s="209" t="s">
        <v>25</v>
      </c>
      <c r="C27" s="44">
        <f>-5.8</f>
        <v>-5.8</v>
      </c>
      <c r="D27" s="34">
        <v>0</v>
      </c>
      <c r="E27" s="34">
        <v>0</v>
      </c>
      <c r="F27" s="34">
        <f>SUM(C27:E27)</f>
        <v>-5.8</v>
      </c>
      <c r="G27" s="30" t="s">
        <v>24</v>
      </c>
      <c r="H27" s="206"/>
    </row>
    <row r="28" spans="1:8" outlineLevel="1">
      <c r="A28" s="459"/>
      <c r="B28" s="460"/>
      <c r="C28" s="471"/>
      <c r="D28" s="472"/>
      <c r="E28" s="472"/>
      <c r="F28" s="472"/>
      <c r="G28" s="473"/>
      <c r="H28" s="474"/>
    </row>
    <row r="29" spans="1:8" outlineLevel="1">
      <c r="A29" s="208" t="s">
        <v>8</v>
      </c>
      <c r="B29" s="209" t="s">
        <v>26</v>
      </c>
      <c r="C29" s="42">
        <v>-0.4</v>
      </c>
      <c r="D29" s="34">
        <v>0</v>
      </c>
      <c r="E29" s="34">
        <v>0</v>
      </c>
      <c r="F29" s="34">
        <f>SUM(C29:E29)</f>
        <v>-0.4</v>
      </c>
      <c r="G29" s="30" t="s">
        <v>24</v>
      </c>
      <c r="H29" s="206"/>
    </row>
    <row r="30" spans="1:8" ht="15.75" outlineLevel="1" thickBot="1">
      <c r="A30" s="210"/>
      <c r="B30" s="45"/>
      <c r="C30" s="46"/>
      <c r="D30" s="47"/>
      <c r="E30" s="47"/>
      <c r="F30" s="47"/>
      <c r="G30" s="48"/>
      <c r="H30" s="211"/>
    </row>
    <row r="31" spans="1:8" ht="15.75" thickBot="1">
      <c r="A31" s="181"/>
      <c r="B31" s="202"/>
      <c r="C31" s="49"/>
      <c r="D31" s="50"/>
      <c r="E31" s="50"/>
      <c r="F31" s="50"/>
      <c r="G31" s="21"/>
      <c r="H31" s="203"/>
    </row>
    <row r="32" spans="1:8" ht="15.75" customHeight="1" thickBot="1">
      <c r="A32" s="181"/>
      <c r="B32" s="202"/>
      <c r="C32" s="432" t="s">
        <v>157</v>
      </c>
      <c r="D32" s="433"/>
      <c r="E32" s="433"/>
      <c r="F32" s="433"/>
      <c r="G32" s="434"/>
      <c r="H32" s="203"/>
    </row>
    <row r="33" spans="1:9" ht="60">
      <c r="A33" s="430" t="s">
        <v>27</v>
      </c>
      <c r="B33" s="431"/>
      <c r="C33" s="142" t="s">
        <v>153</v>
      </c>
      <c r="D33" s="143" t="s">
        <v>154</v>
      </c>
      <c r="E33" s="143" t="s">
        <v>155</v>
      </c>
      <c r="F33" s="143" t="s">
        <v>134</v>
      </c>
      <c r="G33" s="6" t="s">
        <v>1</v>
      </c>
      <c r="H33" s="6" t="s">
        <v>2</v>
      </c>
    </row>
    <row r="34" spans="1:9">
      <c r="A34" s="197" t="s">
        <v>3</v>
      </c>
      <c r="B34" s="198"/>
      <c r="C34" s="7">
        <v>84.371000250000009</v>
      </c>
      <c r="D34" s="8">
        <v>41.633249999999997</v>
      </c>
      <c r="E34" s="8">
        <v>44.324281962891803</v>
      </c>
      <c r="F34" s="8">
        <f>SUM(C34:E34)</f>
        <v>170.32853221289182</v>
      </c>
      <c r="G34" s="9"/>
      <c r="H34" s="264"/>
    </row>
    <row r="35" spans="1:9">
      <c r="A35" s="197" t="s">
        <v>108</v>
      </c>
      <c r="B35" s="198"/>
      <c r="C35" s="7">
        <f>C128*-0.25</f>
        <v>2.5235595888675402</v>
      </c>
      <c r="D35" s="8"/>
      <c r="E35" s="8"/>
      <c r="F35" s="8">
        <f t="shared" ref="F35:F37" si="4">SUM(C35:E35)</f>
        <v>2.5235595888675402</v>
      </c>
      <c r="G35" s="9"/>
      <c r="H35" s="264" t="s">
        <v>111</v>
      </c>
    </row>
    <row r="36" spans="1:9">
      <c r="A36" s="199" t="s">
        <v>4</v>
      </c>
      <c r="B36" s="200"/>
      <c r="C36" s="12">
        <f>C39+C43+C47</f>
        <v>-86.825000000000003</v>
      </c>
      <c r="D36" s="163">
        <f>D39+D43</f>
        <v>-39.4</v>
      </c>
      <c r="E36" s="163">
        <f>E39+E43</f>
        <v>-21.5</v>
      </c>
      <c r="F36" s="8">
        <f t="shared" si="4"/>
        <v>-147.72499999999999</v>
      </c>
      <c r="G36" s="11">
        <f>G43</f>
        <v>450</v>
      </c>
      <c r="H36" s="201"/>
    </row>
    <row r="37" spans="1:9">
      <c r="A37" s="199" t="s">
        <v>5</v>
      </c>
      <c r="B37" s="200"/>
      <c r="C37" s="12">
        <f>C34+C36+C35</f>
        <v>6.955983886754602E-2</v>
      </c>
      <c r="D37" s="163">
        <f>D34+D36</f>
        <v>2.2332499999999982</v>
      </c>
      <c r="E37" s="163">
        <f>E34+E36</f>
        <v>22.824281962891803</v>
      </c>
      <c r="F37" s="8">
        <f t="shared" si="4"/>
        <v>25.127091801759349</v>
      </c>
      <c r="G37" s="13"/>
      <c r="H37" s="201"/>
    </row>
    <row r="38" spans="1:9" ht="15.75" thickBot="1">
      <c r="A38" s="212" t="s">
        <v>6</v>
      </c>
      <c r="B38" s="15"/>
      <c r="C38" s="51"/>
      <c r="D38" s="52"/>
      <c r="E38" s="52"/>
      <c r="F38" s="52"/>
      <c r="G38" s="53"/>
      <c r="H38" s="213"/>
    </row>
    <row r="39" spans="1:9" s="1" customFormat="1" ht="30" outlineLevel="2">
      <c r="A39" s="176"/>
      <c r="B39" s="177" t="s">
        <v>14</v>
      </c>
      <c r="C39" s="54">
        <f>SUM(C40:C42)</f>
        <v>-86</v>
      </c>
      <c r="D39" s="55">
        <f>D40+D42</f>
        <v>-23.5</v>
      </c>
      <c r="E39" s="55">
        <f>E40+E42</f>
        <v>-5.0999999999999996</v>
      </c>
      <c r="F39" s="55">
        <f t="shared" ref="F39:F47" si="5">SUM(C39:E39)</f>
        <v>-114.6</v>
      </c>
      <c r="G39" s="30" t="s">
        <v>15</v>
      </c>
      <c r="H39" s="30"/>
    </row>
    <row r="40" spans="1:9" ht="48.75" outlineLevel="2">
      <c r="A40" s="181"/>
      <c r="B40" s="193" t="s">
        <v>28</v>
      </c>
      <c r="C40" s="71">
        <f>-83.5</f>
        <v>-83.5</v>
      </c>
      <c r="D40" s="56">
        <v>-18.5</v>
      </c>
      <c r="E40" s="20">
        <v>0</v>
      </c>
      <c r="F40" s="20">
        <f t="shared" si="5"/>
        <v>-102</v>
      </c>
      <c r="G40" s="21"/>
      <c r="H40" s="180" t="s">
        <v>135</v>
      </c>
    </row>
    <row r="41" spans="1:9" ht="30" outlineLevel="2">
      <c r="A41" s="181"/>
      <c r="B41" s="207" t="s">
        <v>112</v>
      </c>
      <c r="C41" s="71">
        <v>-2.5</v>
      </c>
      <c r="D41" s="56"/>
      <c r="E41" s="20"/>
      <c r="F41" s="20">
        <f t="shared" si="5"/>
        <v>-2.5</v>
      </c>
      <c r="G41" s="21"/>
      <c r="H41" s="180" t="s">
        <v>113</v>
      </c>
    </row>
    <row r="42" spans="1:9" outlineLevel="2">
      <c r="A42" s="181"/>
      <c r="B42" s="193" t="s">
        <v>29</v>
      </c>
      <c r="C42" s="19">
        <v>0</v>
      </c>
      <c r="D42" s="20">
        <v>-5</v>
      </c>
      <c r="E42" s="20">
        <v>-5.0999999999999996</v>
      </c>
      <c r="F42" s="20">
        <f t="shared" si="5"/>
        <v>-10.1</v>
      </c>
      <c r="G42" s="21"/>
      <c r="H42" s="180"/>
    </row>
    <row r="43" spans="1:9" s="1" customFormat="1" outlineLevel="2">
      <c r="A43" s="176"/>
      <c r="B43" s="177" t="s">
        <v>18</v>
      </c>
      <c r="C43" s="54">
        <f>SUM(C44:C44)</f>
        <v>-0.36899999999999999</v>
      </c>
      <c r="D43" s="55">
        <f>SUM(D44:D46)</f>
        <v>-15.9</v>
      </c>
      <c r="E43" s="55">
        <f>SUM(E44:E46)</f>
        <v>-16.399999999999999</v>
      </c>
      <c r="F43" s="55">
        <f t="shared" si="5"/>
        <v>-32.668999999999997</v>
      </c>
      <c r="G43" s="35">
        <f>SUM(G44:G46)</f>
        <v>450</v>
      </c>
      <c r="H43" s="30"/>
      <c r="I43" s="57"/>
    </row>
    <row r="44" spans="1:9" outlineLevel="2">
      <c r="A44" s="178" t="s">
        <v>8</v>
      </c>
      <c r="B44" s="192" t="s">
        <v>30</v>
      </c>
      <c r="C44" s="58">
        <v>-0.36899999999999999</v>
      </c>
      <c r="D44" s="56">
        <v>-1.9</v>
      </c>
      <c r="E44" s="56">
        <v>-2</v>
      </c>
      <c r="F44" s="56">
        <f t="shared" si="5"/>
        <v>-4.2690000000000001</v>
      </c>
      <c r="G44" s="36">
        <v>50</v>
      </c>
      <c r="H44" s="203"/>
    </row>
    <row r="45" spans="1:9" outlineLevel="2">
      <c r="A45" s="181"/>
      <c r="B45" s="193" t="s">
        <v>30</v>
      </c>
      <c r="C45" s="19">
        <v>0</v>
      </c>
      <c r="D45" s="20">
        <v>-12</v>
      </c>
      <c r="E45" s="56">
        <v>-12.4</v>
      </c>
      <c r="F45" s="56">
        <f t="shared" si="5"/>
        <v>-24.4</v>
      </c>
      <c r="G45" s="21">
        <v>300</v>
      </c>
      <c r="H45" s="268"/>
    </row>
    <row r="46" spans="1:9" outlineLevel="2">
      <c r="A46" s="181"/>
      <c r="B46" s="193" t="s">
        <v>142</v>
      </c>
      <c r="C46" s="19">
        <v>0</v>
      </c>
      <c r="D46" s="56">
        <v>-2</v>
      </c>
      <c r="E46" s="56">
        <v>-2</v>
      </c>
      <c r="F46" s="56">
        <f>SUM(D46:E46)</f>
        <v>-4</v>
      </c>
      <c r="G46" s="21">
        <v>100</v>
      </c>
      <c r="H46" s="268" t="s">
        <v>150</v>
      </c>
    </row>
    <row r="47" spans="1:9" ht="30" outlineLevel="2">
      <c r="A47" s="208" t="s">
        <v>8</v>
      </c>
      <c r="B47" s="209" t="s">
        <v>25</v>
      </c>
      <c r="C47" s="59">
        <v>-0.45600000000000002</v>
      </c>
      <c r="D47" s="60">
        <v>0</v>
      </c>
      <c r="E47" s="60">
        <v>0</v>
      </c>
      <c r="F47" s="263">
        <f t="shared" si="5"/>
        <v>-0.45600000000000002</v>
      </c>
      <c r="G47" s="61"/>
      <c r="H47" s="61"/>
    </row>
    <row r="48" spans="1:9" ht="15.75" outlineLevel="2" thickBot="1">
      <c r="A48" s="214"/>
      <c r="B48" s="45"/>
      <c r="C48" s="62"/>
      <c r="D48" s="63"/>
      <c r="E48" s="63"/>
      <c r="F48" s="63"/>
      <c r="G48" s="48"/>
      <c r="H48" s="48"/>
    </row>
    <row r="49" spans="1:8" ht="15.75" thickBot="1">
      <c r="A49" s="150"/>
      <c r="B49" s="202"/>
      <c r="C49" s="19"/>
      <c r="D49" s="20"/>
      <c r="E49" s="20"/>
      <c r="F49" s="20"/>
      <c r="G49" s="21"/>
      <c r="H49" s="21"/>
    </row>
    <row r="50" spans="1:8" ht="15.75" customHeight="1" thickBot="1">
      <c r="A50" s="150"/>
      <c r="B50" s="202"/>
      <c r="C50" s="432" t="s">
        <v>157</v>
      </c>
      <c r="D50" s="433"/>
      <c r="E50" s="433"/>
      <c r="F50" s="433"/>
      <c r="G50" s="434"/>
      <c r="H50" s="21"/>
    </row>
    <row r="51" spans="1:8" ht="60">
      <c r="A51" s="430" t="s">
        <v>31</v>
      </c>
      <c r="B51" s="431"/>
      <c r="C51" s="142" t="s">
        <v>153</v>
      </c>
      <c r="D51" s="143" t="s">
        <v>154</v>
      </c>
      <c r="E51" s="143" t="s">
        <v>155</v>
      </c>
      <c r="F51" s="143" t="s">
        <v>134</v>
      </c>
      <c r="G51" s="6" t="s">
        <v>1</v>
      </c>
      <c r="H51" s="6" t="s">
        <v>2</v>
      </c>
    </row>
    <row r="52" spans="1:8">
      <c r="A52" s="197" t="s">
        <v>3</v>
      </c>
      <c r="B52" s="198"/>
      <c r="C52" s="7">
        <v>67.496800199999996</v>
      </c>
      <c r="D52" s="8">
        <v>33.306599999999996</v>
      </c>
      <c r="E52" s="8">
        <v>35.459425570313442</v>
      </c>
      <c r="F52" s="8">
        <f>SUM(C52:E52)</f>
        <v>136.26282577031344</v>
      </c>
      <c r="G52" s="9"/>
      <c r="H52" s="264"/>
    </row>
    <row r="53" spans="1:8">
      <c r="A53" s="197" t="s">
        <v>108</v>
      </c>
      <c r="B53" s="198"/>
      <c r="C53" s="7">
        <f>C128*-0.2</f>
        <v>2.0188476710940324</v>
      </c>
      <c r="D53" s="8"/>
      <c r="E53" s="8"/>
      <c r="F53" s="8">
        <f t="shared" ref="F53:F55" si="6">SUM(C53:E53)</f>
        <v>2.0188476710940324</v>
      </c>
      <c r="G53" s="9"/>
      <c r="H53" s="264" t="s">
        <v>110</v>
      </c>
    </row>
    <row r="54" spans="1:8">
      <c r="A54" s="199" t="s">
        <v>4</v>
      </c>
      <c r="B54" s="200"/>
      <c r="C54" s="346">
        <f>C57+C61+C63+C66+C69</f>
        <v>-69.376999999999995</v>
      </c>
      <c r="D54" s="345">
        <f>D57+D61+D63+D66+D69+D71</f>
        <v>-33.299999999999997</v>
      </c>
      <c r="E54" s="345">
        <f>E57+E61+E63+E66+E69+E71</f>
        <v>-17.562000000000001</v>
      </c>
      <c r="F54" s="347">
        <f t="shared" si="6"/>
        <v>-120.23899999999999</v>
      </c>
      <c r="G54" s="64">
        <f>G63+G66+G61</f>
        <v>274</v>
      </c>
      <c r="H54" s="201"/>
    </row>
    <row r="55" spans="1:8">
      <c r="A55" s="199" t="s">
        <v>5</v>
      </c>
      <c r="B55" s="200"/>
      <c r="C55" s="12">
        <f>C52+C54+C53</f>
        <v>0.13864787109403265</v>
      </c>
      <c r="D55" s="163">
        <f>D52+D54</f>
        <v>6.599999999998829E-3</v>
      </c>
      <c r="E55" s="163">
        <f>E52+E54</f>
        <v>17.897425570313441</v>
      </c>
      <c r="F55" s="8">
        <f t="shared" si="6"/>
        <v>18.042673441407473</v>
      </c>
      <c r="G55" s="13"/>
      <c r="H55" s="201"/>
    </row>
    <row r="56" spans="1:8" ht="15.75" thickBot="1">
      <c r="A56" s="16" t="s">
        <v>32</v>
      </c>
      <c r="B56" s="65"/>
      <c r="C56" s="66"/>
      <c r="D56" s="67"/>
      <c r="E56" s="67"/>
      <c r="F56" s="67"/>
      <c r="G56" s="68"/>
      <c r="H56" s="215"/>
    </row>
    <row r="57" spans="1:8" ht="30" outlineLevel="1">
      <c r="A57" s="194"/>
      <c r="B57" s="195" t="s">
        <v>14</v>
      </c>
      <c r="C57" s="69">
        <f>SUM(C58:C60)</f>
        <v>-68.099999999999994</v>
      </c>
      <c r="D57" s="166">
        <f>D58+D60</f>
        <v>-25.5</v>
      </c>
      <c r="E57" s="166">
        <f>E58+E60</f>
        <v>-7.5</v>
      </c>
      <c r="F57" s="166">
        <f t="shared" ref="F57:F69" si="7">SUM(C57:E57)</f>
        <v>-101.1</v>
      </c>
      <c r="G57" s="70" t="s">
        <v>15</v>
      </c>
      <c r="H57" s="216"/>
    </row>
    <row r="58" spans="1:8" outlineLevel="1">
      <c r="A58" s="181"/>
      <c r="B58" s="182" t="s">
        <v>33</v>
      </c>
      <c r="C58" s="71">
        <f>-63.1-3</f>
        <v>-66.099999999999994</v>
      </c>
      <c r="D58" s="20">
        <f>-23.4+2.4</f>
        <v>-21</v>
      </c>
      <c r="E58" s="20">
        <f>-3.5+0.6</f>
        <v>-2.9</v>
      </c>
      <c r="F58" s="20">
        <f t="shared" si="7"/>
        <v>-90</v>
      </c>
      <c r="G58" s="21"/>
      <c r="H58" s="180"/>
    </row>
    <row r="59" spans="1:8" ht="30" outlineLevel="1">
      <c r="A59" s="181"/>
      <c r="B59" s="254" t="s">
        <v>112</v>
      </c>
      <c r="C59" s="71">
        <v>-2</v>
      </c>
      <c r="D59" s="20"/>
      <c r="E59" s="20"/>
      <c r="F59" s="20">
        <f t="shared" si="7"/>
        <v>-2</v>
      </c>
      <c r="G59" s="21"/>
      <c r="H59" s="180"/>
    </row>
    <row r="60" spans="1:8" outlineLevel="1">
      <c r="A60" s="217"/>
      <c r="B60" s="182" t="s">
        <v>94</v>
      </c>
      <c r="C60" s="19">
        <v>0</v>
      </c>
      <c r="D60" s="20">
        <v>-4.5</v>
      </c>
      <c r="E60" s="20">
        <v>-4.5999999999999996</v>
      </c>
      <c r="F60" s="20">
        <f t="shared" si="7"/>
        <v>-9.1</v>
      </c>
      <c r="G60" s="21"/>
      <c r="H60" s="205"/>
    </row>
    <row r="61" spans="1:8" outlineLevel="1">
      <c r="A61" s="218"/>
      <c r="B61" s="195" t="s">
        <v>7</v>
      </c>
      <c r="C61" s="69">
        <f>C62</f>
        <v>0</v>
      </c>
      <c r="D61" s="166">
        <f>D62</f>
        <v>0</v>
      </c>
      <c r="E61" s="166">
        <f>E62</f>
        <v>-1</v>
      </c>
      <c r="F61" s="166">
        <f t="shared" si="7"/>
        <v>-1</v>
      </c>
      <c r="G61" s="35">
        <f>SUM(G62:G62)</f>
        <v>44</v>
      </c>
      <c r="H61" s="216"/>
    </row>
    <row r="62" spans="1:8" ht="30" outlineLevel="1">
      <c r="A62" s="181"/>
      <c r="B62" s="182" t="s">
        <v>13</v>
      </c>
      <c r="C62" s="26"/>
      <c r="D62" s="28">
        <v>0</v>
      </c>
      <c r="E62" s="27">
        <v>-1</v>
      </c>
      <c r="F62" s="27">
        <f t="shared" si="7"/>
        <v>-1</v>
      </c>
      <c r="G62" s="21">
        <v>44</v>
      </c>
      <c r="H62" s="205" t="s">
        <v>95</v>
      </c>
    </row>
    <row r="63" spans="1:8" outlineLevel="1">
      <c r="A63" s="187"/>
      <c r="B63" s="177" t="s">
        <v>18</v>
      </c>
      <c r="C63" s="54">
        <f>C64</f>
        <v>-0.35</v>
      </c>
      <c r="D63" s="55">
        <f t="shared" ref="D63:G63" si="8">SUM(D64:D65)</f>
        <v>-2.8</v>
      </c>
      <c r="E63" s="55">
        <f t="shared" si="8"/>
        <v>-3</v>
      </c>
      <c r="F63" s="55">
        <f t="shared" si="7"/>
        <v>-6.15</v>
      </c>
      <c r="G63" s="35">
        <f t="shared" si="8"/>
        <v>70</v>
      </c>
      <c r="H63" s="206"/>
    </row>
    <row r="64" spans="1:8" outlineLevel="1">
      <c r="A64" s="178" t="s">
        <v>8</v>
      </c>
      <c r="B64" s="179" t="s">
        <v>34</v>
      </c>
      <c r="C64" s="58">
        <v>-0.35</v>
      </c>
      <c r="D64" s="56">
        <v>-0.8</v>
      </c>
      <c r="E64" s="56">
        <v>-0.8</v>
      </c>
      <c r="F64" s="56">
        <f t="shared" si="7"/>
        <v>-1.95</v>
      </c>
      <c r="G64" s="36">
        <v>20</v>
      </c>
      <c r="H64" s="203"/>
    </row>
    <row r="65" spans="1:8" outlineLevel="1">
      <c r="A65" s="181"/>
      <c r="B65" s="182" t="s">
        <v>34</v>
      </c>
      <c r="C65" s="19"/>
      <c r="D65" s="20">
        <v>-2</v>
      </c>
      <c r="E65" s="20">
        <v>-2.2000000000000002</v>
      </c>
      <c r="F65" s="20">
        <f t="shared" si="7"/>
        <v>-4.2</v>
      </c>
      <c r="G65" s="21">
        <v>50</v>
      </c>
      <c r="H65" s="203"/>
    </row>
    <row r="66" spans="1:8" outlineLevel="1">
      <c r="A66" s="187"/>
      <c r="B66" s="177" t="s">
        <v>35</v>
      </c>
      <c r="C66" s="54">
        <f t="shared" ref="C66:G66" si="9">SUM(C67:C68)</f>
        <v>-0.73</v>
      </c>
      <c r="D66" s="55">
        <f t="shared" si="9"/>
        <v>-5</v>
      </c>
      <c r="E66" s="55">
        <f t="shared" si="9"/>
        <v>-5.0999999999999996</v>
      </c>
      <c r="F66" s="55">
        <f t="shared" si="7"/>
        <v>-10.83</v>
      </c>
      <c r="G66" s="35">
        <f t="shared" si="9"/>
        <v>160</v>
      </c>
      <c r="H66" s="206"/>
    </row>
    <row r="67" spans="1:8" outlineLevel="1">
      <c r="A67" s="178" t="s">
        <v>8</v>
      </c>
      <c r="B67" s="179" t="s">
        <v>36</v>
      </c>
      <c r="C67" s="58">
        <v>-0.73</v>
      </c>
      <c r="D67" s="56">
        <v>-1.3</v>
      </c>
      <c r="E67" s="56">
        <v>-1.3</v>
      </c>
      <c r="F67" s="56">
        <f t="shared" si="7"/>
        <v>-3.33</v>
      </c>
      <c r="G67" s="36">
        <v>60</v>
      </c>
      <c r="H67" s="203"/>
    </row>
    <row r="68" spans="1:8" outlineLevel="1">
      <c r="A68" s="181"/>
      <c r="B68" s="182" t="s">
        <v>36</v>
      </c>
      <c r="C68" s="72">
        <v>0</v>
      </c>
      <c r="D68" s="73">
        <v>-3.7</v>
      </c>
      <c r="E68" s="73">
        <v>-3.8</v>
      </c>
      <c r="F68" s="73">
        <f t="shared" si="7"/>
        <v>-7.5</v>
      </c>
      <c r="G68" s="21">
        <v>100</v>
      </c>
      <c r="H68" s="180"/>
    </row>
    <row r="69" spans="1:8" ht="30" outlineLevel="1">
      <c r="A69" s="208" t="s">
        <v>8</v>
      </c>
      <c r="B69" s="219" t="s">
        <v>25</v>
      </c>
      <c r="C69" s="59">
        <v>-0.19700000000000001</v>
      </c>
      <c r="D69" s="34">
        <v>0</v>
      </c>
      <c r="E69" s="34">
        <v>0</v>
      </c>
      <c r="F69" s="263">
        <f t="shared" si="7"/>
        <v>-0.19700000000000001</v>
      </c>
      <c r="G69" s="61"/>
      <c r="H69" s="61"/>
    </row>
    <row r="70" spans="1:8" outlineLevel="1">
      <c r="A70" s="181"/>
      <c r="B70" s="175"/>
      <c r="C70" s="74"/>
      <c r="D70" s="20"/>
      <c r="E70" s="20"/>
      <c r="F70" s="20"/>
      <c r="G70" s="21"/>
      <c r="H70" s="21"/>
    </row>
    <row r="71" spans="1:8" outlineLevel="1">
      <c r="A71" s="218"/>
      <c r="B71" s="219" t="s">
        <v>37</v>
      </c>
      <c r="C71" s="75">
        <f>SUM(C72)</f>
        <v>0</v>
      </c>
      <c r="D71" s="263">
        <f>SUM(D72)</f>
        <v>0</v>
      </c>
      <c r="E71" s="263">
        <f>SUM(E72)</f>
        <v>-0.96199999999999997</v>
      </c>
      <c r="F71" s="263">
        <f>SUM(C71:E71)</f>
        <v>-0.96199999999999997</v>
      </c>
      <c r="G71" s="61"/>
      <c r="H71" s="61"/>
    </row>
    <row r="72" spans="1:8" outlineLevel="1">
      <c r="A72" s="181"/>
      <c r="B72" s="202" t="s">
        <v>38</v>
      </c>
      <c r="C72" s="19">
        <v>0</v>
      </c>
      <c r="D72" s="20">
        <v>0</v>
      </c>
      <c r="E72" s="56">
        <v>-0.96199999999999997</v>
      </c>
      <c r="F72" s="56">
        <f>SUM(C72:E72)</f>
        <v>-0.96199999999999997</v>
      </c>
      <c r="G72" s="21"/>
      <c r="H72" s="180" t="s">
        <v>143</v>
      </c>
    </row>
    <row r="73" spans="1:8" ht="15.75" outlineLevel="1" thickBot="1">
      <c r="A73" s="214"/>
      <c r="B73" s="45"/>
      <c r="C73" s="62"/>
      <c r="D73" s="63"/>
      <c r="E73" s="63"/>
      <c r="F73" s="63"/>
      <c r="G73" s="48"/>
      <c r="H73" s="48"/>
    </row>
    <row r="74" spans="1:8" ht="15.75" thickBot="1">
      <c r="A74" s="150"/>
      <c r="B74" s="202"/>
      <c r="C74" s="19"/>
      <c r="D74" s="20"/>
      <c r="E74" s="20"/>
      <c r="F74" s="20"/>
      <c r="G74" s="21"/>
      <c r="H74" s="21"/>
    </row>
    <row r="75" spans="1:8" ht="15.75" customHeight="1" thickBot="1">
      <c r="A75" s="150"/>
      <c r="B75" s="202"/>
      <c r="C75" s="432" t="s">
        <v>157</v>
      </c>
      <c r="D75" s="433"/>
      <c r="E75" s="433"/>
      <c r="F75" s="433"/>
      <c r="G75" s="434"/>
      <c r="H75" s="21"/>
    </row>
    <row r="76" spans="1:8" ht="15.75" thickBot="1">
      <c r="A76" s="220" t="s">
        <v>39</v>
      </c>
      <c r="B76" s="76"/>
      <c r="C76" s="77"/>
      <c r="D76" s="78"/>
      <c r="E76" s="78"/>
      <c r="F76" s="78"/>
      <c r="G76" s="79"/>
      <c r="H76" s="221"/>
    </row>
    <row r="77" spans="1:8" ht="60">
      <c r="A77" s="435"/>
      <c r="B77" s="436"/>
      <c r="C77" s="142" t="s">
        <v>153</v>
      </c>
      <c r="D77" s="143" t="s">
        <v>154</v>
      </c>
      <c r="E77" s="143" t="s">
        <v>155</v>
      </c>
      <c r="F77" s="143" t="s">
        <v>134</v>
      </c>
      <c r="G77" s="144" t="s">
        <v>103</v>
      </c>
      <c r="H77" s="253"/>
    </row>
    <row r="78" spans="1:8">
      <c r="A78" s="222"/>
      <c r="B78" s="223" t="s">
        <v>40</v>
      </c>
      <c r="C78" s="80">
        <f>C5+C34+C52</f>
        <v>337.48400099999998</v>
      </c>
      <c r="D78" s="81">
        <f>D5+D34+D52</f>
        <v>166.53299999999999</v>
      </c>
      <c r="E78" s="81">
        <f>E5+E34+E52</f>
        <v>177.29712785156724</v>
      </c>
      <c r="F78" s="81">
        <f>SUM(C78:E78)</f>
        <v>681.31412885156715</v>
      </c>
      <c r="G78" s="82"/>
      <c r="H78" s="31"/>
    </row>
    <row r="79" spans="1:8">
      <c r="A79" s="222"/>
      <c r="B79" s="223" t="s">
        <v>108</v>
      </c>
      <c r="C79" s="257">
        <f>C6+C35+C53</f>
        <v>10.094238355470161</v>
      </c>
      <c r="D79" s="81"/>
      <c r="E79" s="81"/>
      <c r="F79" s="81">
        <f>SUM(C79:E79)</f>
        <v>10.094238355470161</v>
      </c>
      <c r="G79" s="82"/>
      <c r="H79" s="31"/>
    </row>
    <row r="80" spans="1:8">
      <c r="A80" s="222"/>
      <c r="B80" s="223" t="s">
        <v>4</v>
      </c>
      <c r="C80" s="80">
        <f>C7+C36+C54</f>
        <v>-347.30200000000002</v>
      </c>
      <c r="D80" s="81">
        <f>D7+D36+D54</f>
        <v>-164.29000000000002</v>
      </c>
      <c r="E80" s="81">
        <f>E7+E36+E54</f>
        <v>-136.565</v>
      </c>
      <c r="F80" s="81">
        <f>SUM(C80:E80)</f>
        <v>-648.15700000000004</v>
      </c>
      <c r="G80" s="84">
        <f>G7+G36+G54</f>
        <v>2775</v>
      </c>
      <c r="H80" s="180"/>
    </row>
    <row r="81" spans="1:8" ht="30">
      <c r="A81" s="224"/>
      <c r="B81" s="85" t="s">
        <v>41</v>
      </c>
      <c r="C81" s="86">
        <f>C78+C79+C80</f>
        <v>0.27623935547012479</v>
      </c>
      <c r="D81" s="87">
        <f>D78+D80</f>
        <v>2.2429999999999666</v>
      </c>
      <c r="E81" s="87">
        <f>E78+E80</f>
        <v>40.732127851567242</v>
      </c>
      <c r="F81" s="87">
        <f>SUM(C81:E81)</f>
        <v>43.251367207037333</v>
      </c>
      <c r="G81" s="88"/>
      <c r="H81" s="225"/>
    </row>
    <row r="82" spans="1:8">
      <c r="A82" s="226"/>
      <c r="B82" s="227" t="s">
        <v>42</v>
      </c>
      <c r="C82" s="89"/>
      <c r="D82" s="90"/>
      <c r="E82" s="90"/>
      <c r="F82" s="90"/>
      <c r="G82" s="91"/>
      <c r="H82" s="228"/>
    </row>
    <row r="83" spans="1:8">
      <c r="A83" s="222"/>
      <c r="B83" s="229" t="s">
        <v>43</v>
      </c>
      <c r="C83" s="92">
        <f>0.12*C78</f>
        <v>40.498080119999997</v>
      </c>
      <c r="D83" s="83">
        <f>0.12*D78</f>
        <v>19.983959999999996</v>
      </c>
      <c r="E83" s="83">
        <f>0.12*E78</f>
        <v>21.275655342188067</v>
      </c>
      <c r="F83" s="83"/>
      <c r="G83" s="93"/>
      <c r="H83" s="31"/>
    </row>
    <row r="84" spans="1:8" ht="30">
      <c r="A84" s="230"/>
      <c r="B84" s="229" t="s">
        <v>44</v>
      </c>
      <c r="C84" s="92">
        <f>(C22+C66)</f>
        <v>-5.43</v>
      </c>
      <c r="D84" s="83">
        <f>(D22+D66)</f>
        <v>-19.7</v>
      </c>
      <c r="E84" s="83">
        <f>(E22+E66)</f>
        <v>-16.399999999999999</v>
      </c>
      <c r="F84" s="83"/>
      <c r="G84" s="93"/>
      <c r="H84" s="31"/>
    </row>
    <row r="85" spans="1:8" ht="15.75" thickBot="1">
      <c r="A85" s="231"/>
      <c r="B85" s="94" t="s">
        <v>45</v>
      </c>
      <c r="C85" s="95">
        <f>C83+C84</f>
        <v>35.068080119999998</v>
      </c>
      <c r="D85" s="96">
        <f>D83+D84</f>
        <v>0.28395999999999688</v>
      </c>
      <c r="E85" s="96">
        <f>E83+E84</f>
        <v>4.8756553421880682</v>
      </c>
      <c r="F85" s="96"/>
      <c r="G85" s="97"/>
      <c r="H85" s="232"/>
    </row>
    <row r="86" spans="1:8" ht="15.75" thickBot="1">
      <c r="A86" s="233"/>
      <c r="B86" s="202"/>
      <c r="C86" s="19"/>
      <c r="D86" s="20"/>
      <c r="E86" s="20"/>
      <c r="F86" s="20"/>
      <c r="G86" s="98"/>
      <c r="H86" s="21"/>
    </row>
    <row r="87" spans="1:8" ht="15.75" customHeight="1" thickBot="1">
      <c r="A87" s="233"/>
      <c r="B87" s="202"/>
      <c r="C87" s="432" t="s">
        <v>157</v>
      </c>
      <c r="D87" s="433"/>
      <c r="E87" s="433"/>
      <c r="F87" s="433"/>
      <c r="G87" s="434"/>
      <c r="H87" s="21"/>
    </row>
    <row r="88" spans="1:8" ht="60">
      <c r="A88" s="435" t="s">
        <v>46</v>
      </c>
      <c r="B88" s="436"/>
      <c r="C88" s="142" t="s">
        <v>153</v>
      </c>
      <c r="D88" s="143" t="s">
        <v>154</v>
      </c>
      <c r="E88" s="143" t="s">
        <v>155</v>
      </c>
      <c r="F88" s="143" t="s">
        <v>134</v>
      </c>
      <c r="G88" s="144" t="s">
        <v>1</v>
      </c>
      <c r="H88" s="144" t="s">
        <v>2</v>
      </c>
    </row>
    <row r="89" spans="1:8">
      <c r="A89" s="171" t="s">
        <v>3</v>
      </c>
      <c r="B89" s="172"/>
      <c r="C89" s="156">
        <v>168.74199999999999</v>
      </c>
      <c r="D89" s="157">
        <v>83.266499999999994</v>
      </c>
      <c r="E89" s="157">
        <v>88.648563925783606</v>
      </c>
      <c r="F89" s="157">
        <f>SUM(C89:E89)</f>
        <v>340.65706392578358</v>
      </c>
      <c r="G89" s="158"/>
      <c r="H89" s="251"/>
    </row>
    <row r="90" spans="1:8">
      <c r="A90" s="173" t="s">
        <v>4</v>
      </c>
      <c r="B90" s="172"/>
      <c r="C90" s="159">
        <f>C93+C98+C103+C111+C118+C121</f>
        <v>-46.300000000000004</v>
      </c>
      <c r="D90" s="167">
        <f>D93+D98+D103+D111+D118+D121</f>
        <v>-160.12999999999997</v>
      </c>
      <c r="E90" s="167">
        <f>E93+E98+E103+E111+E118+E121</f>
        <v>-134.10999999999999</v>
      </c>
      <c r="F90" s="167">
        <f>SUM(C90:E90)</f>
        <v>-340.53999999999996</v>
      </c>
      <c r="G90" s="160">
        <f>G103</f>
        <v>337</v>
      </c>
      <c r="H90" s="174"/>
    </row>
    <row r="91" spans="1:8">
      <c r="A91" s="173" t="s">
        <v>5</v>
      </c>
      <c r="B91" s="172"/>
      <c r="C91" s="159">
        <f>C89+C90</f>
        <v>122.44199999999998</v>
      </c>
      <c r="D91" s="167">
        <f>D89+D90</f>
        <v>-76.863499999999974</v>
      </c>
      <c r="E91" s="167">
        <f>E89+E90</f>
        <v>-45.46143607421638</v>
      </c>
      <c r="F91" s="167">
        <f>SUM(C91:E91)</f>
        <v>0.11706392578362568</v>
      </c>
      <c r="G91" s="161"/>
      <c r="H91" s="174"/>
    </row>
    <row r="92" spans="1:8" ht="15.75" thickBot="1">
      <c r="A92" s="329" t="s">
        <v>32</v>
      </c>
      <c r="B92" s="330" t="s">
        <v>46</v>
      </c>
      <c r="C92" s="331"/>
      <c r="D92" s="332"/>
      <c r="E92" s="332"/>
      <c r="F92" s="332"/>
      <c r="G92" s="333"/>
      <c r="H92" s="334"/>
    </row>
    <row r="93" spans="1:8" outlineLevel="1">
      <c r="A93" s="322"/>
      <c r="B93" s="323" t="s">
        <v>47</v>
      </c>
      <c r="C93" s="335">
        <f>SUM(C94:C95)</f>
        <v>-4.5999999999999996</v>
      </c>
      <c r="D93" s="336">
        <f>SUM(D94:D97)</f>
        <v>-27.02</v>
      </c>
      <c r="E93" s="336">
        <f>SUM(E94:E97)</f>
        <v>-26.8</v>
      </c>
      <c r="F93" s="336">
        <f t="shared" ref="F93:F121" si="10">SUM(C93:E93)</f>
        <v>-58.42</v>
      </c>
      <c r="G93" s="337"/>
      <c r="H93" s="326"/>
    </row>
    <row r="94" spans="1:8" s="102" customFormat="1" ht="30" outlineLevel="1">
      <c r="A94" s="178" t="s">
        <v>8</v>
      </c>
      <c r="B94" s="179" t="s">
        <v>87</v>
      </c>
      <c r="C94" s="101">
        <v>-4.5999999999999996</v>
      </c>
      <c r="D94" s="255">
        <v>-11.8</v>
      </c>
      <c r="E94" s="255">
        <v>-12.31</v>
      </c>
      <c r="F94" s="255">
        <f t="shared" si="10"/>
        <v>-28.71</v>
      </c>
      <c r="G94" s="36"/>
      <c r="H94" s="180" t="s">
        <v>137</v>
      </c>
    </row>
    <row r="95" spans="1:8" outlineLevel="1">
      <c r="A95" s="181"/>
      <c r="B95" s="182" t="s">
        <v>48</v>
      </c>
      <c r="C95" s="49">
        <v>0</v>
      </c>
      <c r="D95" s="255">
        <f>-13.49+1</f>
        <v>-12.49</v>
      </c>
      <c r="E95" s="255">
        <v>-12.23</v>
      </c>
      <c r="F95" s="255">
        <f t="shared" si="10"/>
        <v>-24.72</v>
      </c>
      <c r="G95" s="21"/>
      <c r="H95" s="180" t="s">
        <v>120</v>
      </c>
    </row>
    <row r="96" spans="1:8" ht="30" outlineLevel="1">
      <c r="A96" s="181"/>
      <c r="B96" s="182" t="s">
        <v>116</v>
      </c>
      <c r="C96" s="49"/>
      <c r="D96" s="255">
        <v>-2.0299999999999998</v>
      </c>
      <c r="E96" s="255">
        <v>-1.96</v>
      </c>
      <c r="F96" s="255">
        <f t="shared" si="10"/>
        <v>-3.9899999999999998</v>
      </c>
      <c r="G96" s="21"/>
      <c r="H96" s="180" t="s">
        <v>117</v>
      </c>
    </row>
    <row r="97" spans="1:8" ht="24.75" outlineLevel="1">
      <c r="A97" s="181"/>
      <c r="B97" s="182" t="s">
        <v>132</v>
      </c>
      <c r="C97" s="49"/>
      <c r="D97" s="255">
        <v>-0.7</v>
      </c>
      <c r="E97" s="255">
        <v>-0.3</v>
      </c>
      <c r="F97" s="255">
        <f t="shared" si="10"/>
        <v>-1</v>
      </c>
      <c r="G97" s="21"/>
      <c r="H97" s="180" t="s">
        <v>133</v>
      </c>
    </row>
    <row r="98" spans="1:8" outlineLevel="1">
      <c r="A98" s="183"/>
      <c r="B98" s="184" t="s">
        <v>49</v>
      </c>
      <c r="C98" s="103">
        <f>SUM(C99:C102)</f>
        <v>-5.8000000000000007</v>
      </c>
      <c r="D98" s="104">
        <f>SUM(D99:D102)</f>
        <v>-10.98</v>
      </c>
      <c r="E98" s="104">
        <f>SUM(E99:E102)</f>
        <v>-13.18</v>
      </c>
      <c r="F98" s="104">
        <f t="shared" si="10"/>
        <v>-29.96</v>
      </c>
      <c r="G98" s="105"/>
      <c r="H98" s="185"/>
    </row>
    <row r="99" spans="1:8" s="102" customFormat="1" ht="30" outlineLevel="1">
      <c r="A99" s="178" t="s">
        <v>8</v>
      </c>
      <c r="B99" s="179" t="s">
        <v>50</v>
      </c>
      <c r="C99" s="101">
        <v>-4.2</v>
      </c>
      <c r="D99" s="255">
        <v>-5.8</v>
      </c>
      <c r="E99" s="255">
        <v>-5.9</v>
      </c>
      <c r="F99" s="255">
        <f t="shared" si="10"/>
        <v>-15.9</v>
      </c>
      <c r="G99" s="36"/>
      <c r="H99" s="180" t="s">
        <v>96</v>
      </c>
    </row>
    <row r="100" spans="1:8" ht="30" outlineLevel="1">
      <c r="A100" s="178" t="s">
        <v>8</v>
      </c>
      <c r="B100" s="179" t="s">
        <v>104</v>
      </c>
      <c r="C100" s="101">
        <v>-1.6</v>
      </c>
      <c r="D100" s="255">
        <v>-3.38</v>
      </c>
      <c r="E100" s="255">
        <v>-3.51</v>
      </c>
      <c r="F100" s="255">
        <f t="shared" si="10"/>
        <v>-8.49</v>
      </c>
      <c r="G100" s="36"/>
      <c r="H100" s="180" t="s">
        <v>97</v>
      </c>
    </row>
    <row r="101" spans="1:8" outlineLevel="1">
      <c r="A101" s="181"/>
      <c r="B101" s="186" t="s">
        <v>88</v>
      </c>
      <c r="C101" s="101"/>
      <c r="D101" s="255">
        <v>-0.5</v>
      </c>
      <c r="E101" s="255">
        <v>-0.5</v>
      </c>
      <c r="F101" s="255">
        <f t="shared" si="10"/>
        <v>-1</v>
      </c>
      <c r="G101" s="36"/>
      <c r="H101" s="180" t="s">
        <v>98</v>
      </c>
    </row>
    <row r="102" spans="1:8" ht="48.75" outlineLevel="1">
      <c r="A102" s="181"/>
      <c r="B102" s="182" t="s">
        <v>51</v>
      </c>
      <c r="C102" s="49">
        <v>0</v>
      </c>
      <c r="D102" s="256">
        <v>-1.3</v>
      </c>
      <c r="E102" s="256">
        <v>-3.27</v>
      </c>
      <c r="F102" s="256">
        <f t="shared" si="10"/>
        <v>-4.57</v>
      </c>
      <c r="G102" s="21"/>
      <c r="H102" s="180" t="s">
        <v>99</v>
      </c>
    </row>
    <row r="103" spans="1:8" outlineLevel="1">
      <c r="A103" s="187"/>
      <c r="B103" s="177" t="s">
        <v>52</v>
      </c>
      <c r="C103" s="99">
        <f t="shared" ref="C103:G103" si="11">SUM(C104:C109)</f>
        <v>-12.7</v>
      </c>
      <c r="D103" s="100">
        <f>SUM(D104:D110)</f>
        <v>-106.89999999999999</v>
      </c>
      <c r="E103" s="100">
        <f>SUM(E104:E110)</f>
        <v>-76.559999999999988</v>
      </c>
      <c r="F103" s="100">
        <f t="shared" si="10"/>
        <v>-196.15999999999997</v>
      </c>
      <c r="G103" s="35">
        <f t="shared" si="11"/>
        <v>337</v>
      </c>
      <c r="H103" s="185"/>
    </row>
    <row r="104" spans="1:8" s="102" customFormat="1" ht="30" outlineLevel="1">
      <c r="A104" s="178" t="s">
        <v>8</v>
      </c>
      <c r="B104" s="179" t="s">
        <v>53</v>
      </c>
      <c r="C104" s="101">
        <v>-7.7</v>
      </c>
      <c r="D104" s="255">
        <v>0</v>
      </c>
      <c r="E104" s="255">
        <v>0</v>
      </c>
      <c r="F104" s="255">
        <f t="shared" si="10"/>
        <v>-7.7</v>
      </c>
      <c r="G104" s="36"/>
      <c r="H104" s="180" t="s">
        <v>100</v>
      </c>
    </row>
    <row r="105" spans="1:8" s="102" customFormat="1" outlineLevel="1">
      <c r="A105" s="178" t="s">
        <v>8</v>
      </c>
      <c r="B105" s="179" t="s">
        <v>54</v>
      </c>
      <c r="C105" s="101">
        <v>-4</v>
      </c>
      <c r="D105" s="256">
        <v>-15.56</v>
      </c>
      <c r="E105" s="255">
        <v>-16.079999999999998</v>
      </c>
      <c r="F105" s="255">
        <f t="shared" si="10"/>
        <v>-35.64</v>
      </c>
      <c r="G105" s="36">
        <v>132</v>
      </c>
      <c r="H105" s="180" t="s">
        <v>119</v>
      </c>
    </row>
    <row r="106" spans="1:8" ht="45" outlineLevel="1">
      <c r="A106" s="178" t="s">
        <v>8</v>
      </c>
      <c r="B106" s="179" t="s">
        <v>115</v>
      </c>
      <c r="C106" s="101">
        <v>-1</v>
      </c>
      <c r="D106" s="256">
        <v>-3.66</v>
      </c>
      <c r="E106" s="255">
        <v>-3.75</v>
      </c>
      <c r="F106" s="255">
        <f t="shared" si="10"/>
        <v>-8.41</v>
      </c>
      <c r="G106" s="36">
        <v>15</v>
      </c>
      <c r="H106" s="180" t="s">
        <v>101</v>
      </c>
    </row>
    <row r="107" spans="1:8" ht="30" outlineLevel="1">
      <c r="A107" s="181"/>
      <c r="B107" s="182" t="s">
        <v>53</v>
      </c>
      <c r="C107" s="49">
        <v>0</v>
      </c>
      <c r="D107" s="256">
        <v>-75.099999999999994</v>
      </c>
      <c r="E107" s="255">
        <v>-45.5</v>
      </c>
      <c r="F107" s="255">
        <f t="shared" si="10"/>
        <v>-120.6</v>
      </c>
      <c r="G107" s="21"/>
      <c r="H107" s="180" t="s">
        <v>152</v>
      </c>
    </row>
    <row r="108" spans="1:8" ht="24.75" outlineLevel="1">
      <c r="A108" s="181"/>
      <c r="B108" s="182" t="s">
        <v>54</v>
      </c>
      <c r="C108" s="49">
        <v>0</v>
      </c>
      <c r="D108" s="256">
        <f>-10.75+0.7</f>
        <v>-10.050000000000001</v>
      </c>
      <c r="E108" s="255">
        <f>-10.68+0.3</f>
        <v>-10.379999999999999</v>
      </c>
      <c r="F108" s="255">
        <f t="shared" si="10"/>
        <v>-20.43</v>
      </c>
      <c r="G108" s="21">
        <v>180</v>
      </c>
      <c r="H108" s="180" t="s">
        <v>136</v>
      </c>
    </row>
    <row r="109" spans="1:8" outlineLevel="1">
      <c r="A109" s="181"/>
      <c r="B109" s="182" t="s">
        <v>89</v>
      </c>
      <c r="C109" s="49"/>
      <c r="D109" s="256">
        <v>-0.73</v>
      </c>
      <c r="E109" s="255">
        <v>-0.75</v>
      </c>
      <c r="F109" s="255">
        <f t="shared" si="10"/>
        <v>-1.48</v>
      </c>
      <c r="G109" s="21">
        <v>10</v>
      </c>
      <c r="H109" s="180"/>
    </row>
    <row r="110" spans="1:8" outlineLevel="1">
      <c r="A110" s="181"/>
      <c r="B110" s="182" t="s">
        <v>123</v>
      </c>
      <c r="C110" s="49"/>
      <c r="D110" s="256">
        <v>-1.8</v>
      </c>
      <c r="E110" s="255">
        <v>-0.1</v>
      </c>
      <c r="F110" s="255">
        <f t="shared" si="10"/>
        <v>-1.9000000000000001</v>
      </c>
      <c r="G110" s="21">
        <v>6</v>
      </c>
      <c r="H110" s="180" t="s">
        <v>124</v>
      </c>
    </row>
    <row r="111" spans="1:8" outlineLevel="1">
      <c r="A111" s="189"/>
      <c r="B111" s="190" t="s">
        <v>55</v>
      </c>
      <c r="C111" s="99">
        <f>SUM(C112:C115)</f>
        <v>-5.0999999999999996</v>
      </c>
      <c r="D111" s="100">
        <f>SUM(D112:D117)</f>
        <v>-8.51</v>
      </c>
      <c r="E111" s="100">
        <f>SUM(E112:E117)</f>
        <v>-10.66</v>
      </c>
      <c r="F111" s="100">
        <f t="shared" si="10"/>
        <v>-24.27</v>
      </c>
      <c r="G111" s="106"/>
      <c r="H111" s="191"/>
    </row>
    <row r="112" spans="1:8" s="102" customFormat="1" ht="24.75" outlineLevel="1">
      <c r="A112" s="178" t="s">
        <v>8</v>
      </c>
      <c r="B112" s="179" t="s">
        <v>56</v>
      </c>
      <c r="C112" s="101">
        <v>-5.0999999999999996</v>
      </c>
      <c r="D112" s="255">
        <v>-3.76</v>
      </c>
      <c r="E112" s="255">
        <v>-3.86</v>
      </c>
      <c r="F112" s="255">
        <f t="shared" si="10"/>
        <v>-12.719999999999999</v>
      </c>
      <c r="G112" s="36"/>
      <c r="H112" s="180" t="s">
        <v>118</v>
      </c>
    </row>
    <row r="113" spans="1:8" ht="30" outlineLevel="1">
      <c r="A113" s="181"/>
      <c r="B113" s="182" t="s">
        <v>107</v>
      </c>
      <c r="C113" s="49"/>
      <c r="D113" s="255"/>
      <c r="E113" s="255">
        <v>-2</v>
      </c>
      <c r="F113" s="255">
        <f t="shared" si="10"/>
        <v>-2</v>
      </c>
      <c r="G113" s="21"/>
      <c r="H113" s="180" t="s">
        <v>105</v>
      </c>
    </row>
    <row r="114" spans="1:8" ht="30" outlineLevel="1">
      <c r="A114" s="181"/>
      <c r="B114" s="182" t="s">
        <v>90</v>
      </c>
      <c r="C114" s="49"/>
      <c r="D114" s="255">
        <v>-1</v>
      </c>
      <c r="E114" s="255">
        <v>-1</v>
      </c>
      <c r="F114" s="255">
        <f t="shared" si="10"/>
        <v>-2</v>
      </c>
      <c r="G114" s="21"/>
      <c r="H114" s="180" t="s">
        <v>102</v>
      </c>
    </row>
    <row r="115" spans="1:8" outlineLevel="1">
      <c r="A115" s="181"/>
      <c r="B115" s="182" t="s">
        <v>91</v>
      </c>
      <c r="C115" s="49"/>
      <c r="D115" s="255">
        <v>-0.75</v>
      </c>
      <c r="E115" s="255">
        <v>-0.75</v>
      </c>
      <c r="F115" s="255">
        <f t="shared" si="10"/>
        <v>-1.5</v>
      </c>
      <c r="G115" s="21"/>
      <c r="H115" s="180" t="s">
        <v>102</v>
      </c>
    </row>
    <row r="116" spans="1:8" ht="30" outlineLevel="1">
      <c r="A116" s="181"/>
      <c r="B116" s="182" t="s">
        <v>125</v>
      </c>
      <c r="C116" s="49"/>
      <c r="D116" s="256">
        <v>-2</v>
      </c>
      <c r="E116" s="256">
        <v>-2.0499999999999998</v>
      </c>
      <c r="F116" s="256">
        <f t="shared" si="10"/>
        <v>-4.05</v>
      </c>
      <c r="G116" s="21"/>
      <c r="H116" s="180" t="s">
        <v>126</v>
      </c>
    </row>
    <row r="117" spans="1:8" ht="30" outlineLevel="1">
      <c r="A117" s="181"/>
      <c r="B117" s="182" t="s">
        <v>151</v>
      </c>
      <c r="C117" s="49"/>
      <c r="D117" s="255">
        <v>-1</v>
      </c>
      <c r="E117" s="255">
        <v>-1</v>
      </c>
      <c r="F117" s="255">
        <f t="shared" si="10"/>
        <v>-2</v>
      </c>
      <c r="G117" s="21"/>
      <c r="H117" s="180" t="s">
        <v>127</v>
      </c>
    </row>
    <row r="118" spans="1:8" ht="30" outlineLevel="1">
      <c r="A118" s="187"/>
      <c r="B118" s="177" t="s">
        <v>57</v>
      </c>
      <c r="C118" s="99">
        <f>SUM(C119:C120)</f>
        <v>-2</v>
      </c>
      <c r="D118" s="100">
        <f>SUM(D119:D120)</f>
        <v>-6.72</v>
      </c>
      <c r="E118" s="100">
        <f>SUM(E119:E120)</f>
        <v>-6.91</v>
      </c>
      <c r="F118" s="100">
        <f t="shared" si="10"/>
        <v>-15.629999999999999</v>
      </c>
      <c r="G118" s="30"/>
      <c r="H118" s="191"/>
    </row>
    <row r="119" spans="1:8" s="102" customFormat="1" outlineLevel="1">
      <c r="A119" s="178" t="s">
        <v>8</v>
      </c>
      <c r="B119" s="192" t="s">
        <v>106</v>
      </c>
      <c r="C119" s="101">
        <v>-2</v>
      </c>
      <c r="D119" s="255">
        <v>-5.36</v>
      </c>
      <c r="E119" s="255">
        <v>-5.3</v>
      </c>
      <c r="F119" s="255">
        <f t="shared" si="10"/>
        <v>-12.66</v>
      </c>
      <c r="G119" s="36"/>
      <c r="H119" s="188"/>
    </row>
    <row r="120" spans="1:8" outlineLevel="1">
      <c r="A120" s="181"/>
      <c r="B120" s="193" t="s">
        <v>106</v>
      </c>
      <c r="C120" s="107"/>
      <c r="D120" s="255">
        <f>-6.72-D119</f>
        <v>-1.3599999999999994</v>
      </c>
      <c r="E120" s="255">
        <f>-6.91-E119</f>
        <v>-1.6100000000000003</v>
      </c>
      <c r="F120" s="255">
        <f t="shared" si="10"/>
        <v>-2.9699999999999998</v>
      </c>
      <c r="G120" s="43"/>
      <c r="H120" s="21"/>
    </row>
    <row r="121" spans="1:8" ht="15.75" outlineLevel="1" thickBot="1">
      <c r="A121" s="465"/>
      <c r="B121" s="466" t="s">
        <v>232</v>
      </c>
      <c r="C121" s="467">
        <v>-16.100000000000001</v>
      </c>
      <c r="D121" s="468">
        <v>0</v>
      </c>
      <c r="E121" s="468">
        <v>0</v>
      </c>
      <c r="F121" s="468">
        <f t="shared" si="10"/>
        <v>-16.100000000000001</v>
      </c>
      <c r="G121" s="469"/>
      <c r="H121" s="470"/>
    </row>
    <row r="122" spans="1:8" ht="15.75" thickBot="1">
      <c r="A122" s="150"/>
      <c r="B122" s="202"/>
      <c r="C122" s="19"/>
      <c r="D122" s="20"/>
      <c r="E122" s="20"/>
      <c r="F122" s="20"/>
      <c r="G122" s="98"/>
      <c r="H122" s="21"/>
    </row>
    <row r="123" spans="1:8" ht="15.75" customHeight="1" thickBot="1">
      <c r="A123" s="150"/>
      <c r="B123" s="202"/>
      <c r="C123" s="432" t="s">
        <v>157</v>
      </c>
      <c r="D123" s="433"/>
      <c r="E123" s="433"/>
      <c r="F123" s="433"/>
      <c r="G123" s="434"/>
      <c r="H123" s="21"/>
    </row>
    <row r="124" spans="1:8" ht="60">
      <c r="A124" s="435" t="s">
        <v>58</v>
      </c>
      <c r="B124" s="436"/>
      <c r="C124" s="142" t="s">
        <v>153</v>
      </c>
      <c r="D124" s="143" t="s">
        <v>154</v>
      </c>
      <c r="E124" s="143" t="s">
        <v>155</v>
      </c>
      <c r="F124" s="143" t="s">
        <v>134</v>
      </c>
      <c r="G124" s="144" t="s">
        <v>1</v>
      </c>
      <c r="H124" s="144" t="s">
        <v>2</v>
      </c>
    </row>
    <row r="125" spans="1:8">
      <c r="A125" s="234" t="s">
        <v>3</v>
      </c>
      <c r="B125" s="235"/>
      <c r="C125" s="108">
        <v>101.2452</v>
      </c>
      <c r="D125" s="109">
        <v>49.959899999999998</v>
      </c>
      <c r="E125" s="109">
        <v>53.189138355470163</v>
      </c>
      <c r="F125" s="109">
        <f>SUM(C125:E125)</f>
        <v>204.39423835547015</v>
      </c>
      <c r="G125" s="110"/>
      <c r="H125" s="265"/>
    </row>
    <row r="126" spans="1:8">
      <c r="A126" s="236" t="s">
        <v>4</v>
      </c>
      <c r="B126" s="235"/>
      <c r="C126" s="111">
        <f>C130+C136+C142+C144+C139</f>
        <v>-100.8</v>
      </c>
      <c r="D126" s="168">
        <f>D130+D136+D139</f>
        <v>-43.8</v>
      </c>
      <c r="E126" s="168">
        <f>E130+E136+E139</f>
        <v>-49.7</v>
      </c>
      <c r="F126" s="168">
        <f>SUM(C126:E126)</f>
        <v>-194.3</v>
      </c>
      <c r="G126" s="112">
        <f>G130+G136+G139</f>
        <v>7425</v>
      </c>
      <c r="H126" s="266"/>
    </row>
    <row r="127" spans="1:8">
      <c r="A127" s="236" t="s">
        <v>5</v>
      </c>
      <c r="B127" s="235"/>
      <c r="C127" s="111">
        <f>C125+C126</f>
        <v>0.44519999999999982</v>
      </c>
      <c r="D127" s="168">
        <f>D125+D126</f>
        <v>6.1599000000000004</v>
      </c>
      <c r="E127" s="168">
        <f>E125+E126</f>
        <v>3.4891383554701605</v>
      </c>
      <c r="F127" s="168">
        <f>SUM(C127:E127)</f>
        <v>10.094238355470161</v>
      </c>
      <c r="G127" s="113"/>
      <c r="H127" s="266"/>
    </row>
    <row r="128" spans="1:8" ht="24.75">
      <c r="A128" s="236" t="s">
        <v>128</v>
      </c>
      <c r="B128" s="235"/>
      <c r="C128" s="111">
        <f>SUM(C127:E127)*-1</f>
        <v>-10.094238355470161</v>
      </c>
      <c r="D128" s="168"/>
      <c r="E128" s="168"/>
      <c r="F128" s="168">
        <f>SUM(C128:E128)</f>
        <v>-10.094238355470161</v>
      </c>
      <c r="G128" s="113"/>
      <c r="H128" s="265" t="s">
        <v>129</v>
      </c>
    </row>
    <row r="129" spans="1:9" ht="15.75" thickBot="1">
      <c r="A129" s="273" t="s">
        <v>32</v>
      </c>
      <c r="B129" s="274"/>
      <c r="C129" s="275"/>
      <c r="D129" s="276"/>
      <c r="E129" s="276"/>
      <c r="F129" s="276"/>
      <c r="G129" s="277"/>
      <c r="H129" s="278"/>
      <c r="I129" s="1"/>
    </row>
    <row r="130" spans="1:9" outlineLevel="1">
      <c r="A130" s="244"/>
      <c r="B130" s="245" t="s">
        <v>59</v>
      </c>
      <c r="C130" s="246">
        <f>SUM(C131:C135)</f>
        <v>-44.5</v>
      </c>
      <c r="D130" s="247">
        <f>SUM(D131:D135)</f>
        <v>-2.8</v>
      </c>
      <c r="E130" s="247">
        <f>SUM(E131:E135)</f>
        <v>0</v>
      </c>
      <c r="F130" s="247">
        <f>SUM(C130:E130)</f>
        <v>-47.3</v>
      </c>
      <c r="G130" s="248">
        <f>SUM(G131:G131)</f>
        <v>125</v>
      </c>
      <c r="H130" s="249"/>
    </row>
    <row r="131" spans="1:9" ht="30" outlineLevel="1">
      <c r="A131" s="178" t="s">
        <v>8</v>
      </c>
      <c r="B131" s="192" t="s">
        <v>60</v>
      </c>
      <c r="C131" s="114">
        <v>-2.1</v>
      </c>
      <c r="D131" s="115"/>
      <c r="E131" s="115"/>
      <c r="F131" s="115">
        <f>SUM(C131:E131)</f>
        <v>-2.1</v>
      </c>
      <c r="G131" s="36">
        <v>125</v>
      </c>
      <c r="H131" s="203"/>
    </row>
    <row r="132" spans="1:9" ht="36.75" outlineLevel="1">
      <c r="A132" s="181"/>
      <c r="B132" s="328" t="s">
        <v>144</v>
      </c>
      <c r="C132" s="270">
        <v>-12.200000000000003</v>
      </c>
      <c r="D132" s="136">
        <v>-2.8</v>
      </c>
      <c r="E132" s="136">
        <v>0</v>
      </c>
      <c r="F132" s="117">
        <f>SUM(C132:E132)</f>
        <v>-15.000000000000004</v>
      </c>
      <c r="G132" s="21"/>
      <c r="H132" s="205" t="s">
        <v>158</v>
      </c>
    </row>
    <row r="133" spans="1:9" ht="45" outlineLevel="1">
      <c r="A133" s="181"/>
      <c r="B133" s="328" t="s">
        <v>145</v>
      </c>
      <c r="C133" s="271">
        <v>-11.2</v>
      </c>
      <c r="D133" s="272">
        <v>0</v>
      </c>
      <c r="E133" s="272">
        <v>0</v>
      </c>
      <c r="F133" s="117">
        <f t="shared" ref="F133:F135" si="12">SUM(C133:E133)</f>
        <v>-11.2</v>
      </c>
      <c r="G133" s="21"/>
      <c r="H133" s="205" t="s">
        <v>159</v>
      </c>
    </row>
    <row r="134" spans="1:9" ht="36.75" outlineLevel="1">
      <c r="A134" s="181"/>
      <c r="B134" s="328" t="s">
        <v>146</v>
      </c>
      <c r="C134" s="271">
        <v>-11.5</v>
      </c>
      <c r="D134" s="272">
        <v>0</v>
      </c>
      <c r="E134" s="272">
        <v>0</v>
      </c>
      <c r="F134" s="117">
        <f t="shared" si="12"/>
        <v>-11.5</v>
      </c>
      <c r="G134" s="21"/>
      <c r="H134" s="205" t="s">
        <v>159</v>
      </c>
    </row>
    <row r="135" spans="1:9" ht="48.75" outlineLevel="1">
      <c r="A135" s="181"/>
      <c r="B135" s="328" t="s">
        <v>147</v>
      </c>
      <c r="C135" s="271">
        <v>-7.5</v>
      </c>
      <c r="D135" s="272">
        <v>0</v>
      </c>
      <c r="E135" s="272">
        <v>0</v>
      </c>
      <c r="F135" s="117">
        <f t="shared" si="12"/>
        <v>-7.5</v>
      </c>
      <c r="G135" s="21"/>
      <c r="H135" s="205" t="s">
        <v>160</v>
      </c>
    </row>
    <row r="136" spans="1:9" ht="30" outlineLevel="1">
      <c r="A136" s="187"/>
      <c r="B136" s="177" t="s">
        <v>61</v>
      </c>
      <c r="C136" s="120">
        <f t="shared" ref="C136:G136" si="13">SUM(C137:C138)</f>
        <v>-3.5</v>
      </c>
      <c r="D136" s="121">
        <f t="shared" si="13"/>
        <v>-35</v>
      </c>
      <c r="E136" s="121">
        <f t="shared" si="13"/>
        <v>-43.7</v>
      </c>
      <c r="F136" s="121">
        <f t="shared" ref="F136:F142" si="14">SUM(C136:E136)</f>
        <v>-82.2</v>
      </c>
      <c r="G136" s="122">
        <f t="shared" si="13"/>
        <v>4500</v>
      </c>
      <c r="H136" s="30"/>
    </row>
    <row r="137" spans="1:9" ht="30" outlineLevel="1">
      <c r="A137" s="181"/>
      <c r="B137" s="193" t="s">
        <v>62</v>
      </c>
      <c r="C137" s="116"/>
      <c r="D137" s="164">
        <v>-20</v>
      </c>
      <c r="E137" s="164">
        <v>-29.2</v>
      </c>
      <c r="F137" s="164">
        <f t="shared" si="14"/>
        <v>-49.2</v>
      </c>
      <c r="G137" s="123">
        <v>2000</v>
      </c>
      <c r="H137" s="21"/>
    </row>
    <row r="138" spans="1:9" ht="30" outlineLevel="1">
      <c r="A138" s="181"/>
      <c r="B138" s="193" t="s">
        <v>63</v>
      </c>
      <c r="C138" s="116">
        <v>-3.5</v>
      </c>
      <c r="D138" s="196">
        <v>-15</v>
      </c>
      <c r="E138" s="196">
        <v>-14.5</v>
      </c>
      <c r="F138" s="164">
        <f t="shared" si="14"/>
        <v>-33</v>
      </c>
      <c r="G138" s="123">
        <v>2500</v>
      </c>
      <c r="H138" s="205"/>
    </row>
    <row r="139" spans="1:9" outlineLevel="1">
      <c r="A139" s="187"/>
      <c r="B139" s="177" t="s">
        <v>121</v>
      </c>
      <c r="C139" s="120">
        <f>SUM(C140:C141)</f>
        <v>-9.6999999999999993</v>
      </c>
      <c r="D139" s="121">
        <f>SUM(D140:D141)</f>
        <v>-6</v>
      </c>
      <c r="E139" s="121">
        <f>SUM(E140:E141)</f>
        <v>-6</v>
      </c>
      <c r="F139" s="121">
        <f t="shared" si="14"/>
        <v>-21.7</v>
      </c>
      <c r="G139" s="124">
        <f>SUM(G140)</f>
        <v>2800</v>
      </c>
      <c r="H139" s="30"/>
    </row>
    <row r="140" spans="1:9" ht="36.75" outlineLevel="1">
      <c r="A140" s="181"/>
      <c r="B140" s="193" t="s">
        <v>64</v>
      </c>
      <c r="C140" s="118">
        <v>0</v>
      </c>
      <c r="D140" s="117">
        <v>-6</v>
      </c>
      <c r="E140" s="117">
        <v>-6</v>
      </c>
      <c r="F140" s="117">
        <f t="shared" si="14"/>
        <v>-12</v>
      </c>
      <c r="G140" s="123">
        <v>2800</v>
      </c>
      <c r="H140" s="205" t="s">
        <v>65</v>
      </c>
    </row>
    <row r="141" spans="1:9" ht="36.75" outlineLevel="1">
      <c r="A141" s="181"/>
      <c r="B141" s="193" t="s">
        <v>122</v>
      </c>
      <c r="C141" s="118">
        <f>-5.3-4.4</f>
        <v>-9.6999999999999993</v>
      </c>
      <c r="D141" s="117"/>
      <c r="E141" s="117"/>
      <c r="F141" s="117">
        <f t="shared" si="14"/>
        <v>-9.6999999999999993</v>
      </c>
      <c r="G141" s="123"/>
      <c r="H141" s="180" t="s">
        <v>161</v>
      </c>
    </row>
    <row r="142" spans="1:9" ht="30" outlineLevel="1">
      <c r="A142" s="237" t="s">
        <v>8</v>
      </c>
      <c r="B142" s="209" t="s">
        <v>66</v>
      </c>
      <c r="C142" s="125">
        <v>-1.3</v>
      </c>
      <c r="D142" s="126">
        <v>0</v>
      </c>
      <c r="E142" s="126">
        <v>0</v>
      </c>
      <c r="F142" s="126">
        <f t="shared" si="14"/>
        <v>-1.3</v>
      </c>
      <c r="G142" s="127"/>
      <c r="H142" s="238"/>
    </row>
    <row r="143" spans="1:9" outlineLevel="1">
      <c r="A143" s="459"/>
      <c r="B143" s="460"/>
      <c r="C143" s="461"/>
      <c r="D143" s="462"/>
      <c r="E143" s="462"/>
      <c r="F143" s="462"/>
      <c r="G143" s="463"/>
      <c r="H143" s="464"/>
    </row>
    <row r="144" spans="1:9" ht="15.75" outlineLevel="1" thickBot="1">
      <c r="A144" s="451"/>
      <c r="B144" s="452" t="s">
        <v>232</v>
      </c>
      <c r="C144" s="453">
        <v>-41.8</v>
      </c>
      <c r="D144" s="454">
        <v>0</v>
      </c>
      <c r="E144" s="454">
        <v>0</v>
      </c>
      <c r="F144" s="454">
        <f>SUM(C144:E144)</f>
        <v>-41.8</v>
      </c>
      <c r="G144" s="455"/>
      <c r="H144" s="456"/>
    </row>
    <row r="145" spans="1:9" ht="15.75" thickBot="1">
      <c r="A145" s="150"/>
      <c r="B145" s="202"/>
      <c r="C145" s="19"/>
      <c r="D145" s="20"/>
      <c r="E145" s="20"/>
      <c r="F145" s="20"/>
      <c r="G145" s="98"/>
      <c r="H145" s="21"/>
    </row>
    <row r="146" spans="1:9" ht="15.75" customHeight="1" thickBot="1">
      <c r="A146" s="150"/>
      <c r="B146" s="202"/>
      <c r="C146" s="432" t="s">
        <v>157</v>
      </c>
      <c r="D146" s="433"/>
      <c r="E146" s="433"/>
      <c r="F146" s="433"/>
      <c r="G146" s="434"/>
      <c r="H146" s="21"/>
    </row>
    <row r="147" spans="1:9" ht="60">
      <c r="A147" s="430" t="s">
        <v>67</v>
      </c>
      <c r="B147" s="431"/>
      <c r="C147" s="142" t="s">
        <v>153</v>
      </c>
      <c r="D147" s="143" t="s">
        <v>154</v>
      </c>
      <c r="E147" s="143" t="s">
        <v>155</v>
      </c>
      <c r="F147" s="143" t="s">
        <v>134</v>
      </c>
      <c r="G147" s="6" t="s">
        <v>1</v>
      </c>
      <c r="H147" s="6" t="s">
        <v>2</v>
      </c>
    </row>
    <row r="148" spans="1:9">
      <c r="A148" s="239" t="s">
        <v>3</v>
      </c>
      <c r="B148" s="240"/>
      <c r="C148" s="130">
        <v>67.496800000000007</v>
      </c>
      <c r="D148" s="131">
        <v>33.306599999999996</v>
      </c>
      <c r="E148" s="131">
        <v>35.459425570313442</v>
      </c>
      <c r="F148" s="131">
        <f>SUM(C148:E148)</f>
        <v>136.26282557031345</v>
      </c>
      <c r="G148" s="132"/>
      <c r="H148" s="250"/>
    </row>
    <row r="149" spans="1:9">
      <c r="A149" s="241" t="s">
        <v>4</v>
      </c>
      <c r="B149" s="240"/>
      <c r="C149" s="133">
        <f>C152+C156+C164+C166</f>
        <v>-72.100000000000009</v>
      </c>
      <c r="D149" s="169">
        <f>D152+D156</f>
        <v>-33.299999999999997</v>
      </c>
      <c r="E149" s="169">
        <f>E152+E156</f>
        <v>-35.5</v>
      </c>
      <c r="F149" s="169">
        <f>SUM(C149:E149)</f>
        <v>-140.9</v>
      </c>
      <c r="G149" s="134">
        <f>G152+G156</f>
        <v>935</v>
      </c>
      <c r="H149" s="242"/>
    </row>
    <row r="150" spans="1:9">
      <c r="A150" s="241" t="s">
        <v>5</v>
      </c>
      <c r="B150" s="240"/>
      <c r="C150" s="133">
        <f>C148+C149</f>
        <v>-4.6032000000000011</v>
      </c>
      <c r="D150" s="170">
        <f>D148+D149</f>
        <v>6.599999999998829E-3</v>
      </c>
      <c r="E150" s="170">
        <f>E148+E149</f>
        <v>-4.0574429686557778E-2</v>
      </c>
      <c r="F150" s="170">
        <f>SUM(C150:E150)</f>
        <v>-4.63717442968656</v>
      </c>
      <c r="G150" s="135"/>
      <c r="H150" s="242"/>
    </row>
    <row r="151" spans="1:9" ht="15.75" thickBot="1">
      <c r="A151" s="316" t="s">
        <v>32</v>
      </c>
      <c r="B151" s="317"/>
      <c r="C151" s="318"/>
      <c r="D151" s="319"/>
      <c r="E151" s="319"/>
      <c r="F151" s="319"/>
      <c r="G151" s="320"/>
      <c r="H151" s="321"/>
    </row>
    <row r="152" spans="1:9" outlineLevel="1">
      <c r="A152" s="322"/>
      <c r="B152" s="323" t="s">
        <v>68</v>
      </c>
      <c r="C152" s="324">
        <f>SUM(C153:C154)</f>
        <v>-23.6</v>
      </c>
      <c r="D152" s="325">
        <f t="shared" ref="D152:G152" si="15">SUM(D153:D155)</f>
        <v>-22</v>
      </c>
      <c r="E152" s="325">
        <f t="shared" si="15"/>
        <v>-13.700000000000001</v>
      </c>
      <c r="F152" s="325">
        <f t="shared" ref="F152:F157" si="16">SUM(C152:E152)</f>
        <v>-59.300000000000004</v>
      </c>
      <c r="G152" s="326">
        <f t="shared" si="15"/>
        <v>310</v>
      </c>
      <c r="H152" s="327"/>
    </row>
    <row r="153" spans="1:9" ht="30" outlineLevel="1">
      <c r="A153" s="178" t="s">
        <v>8</v>
      </c>
      <c r="B153" s="192" t="s">
        <v>69</v>
      </c>
      <c r="C153" s="128">
        <v>-23.6</v>
      </c>
      <c r="D153" s="129">
        <v>0</v>
      </c>
      <c r="E153" s="129">
        <v>0</v>
      </c>
      <c r="F153" s="129">
        <f t="shared" si="16"/>
        <v>-23.6</v>
      </c>
      <c r="G153" s="36"/>
      <c r="H153" s="203"/>
    </row>
    <row r="154" spans="1:9" outlineLevel="1">
      <c r="A154" s="181"/>
      <c r="B154" s="193" t="s">
        <v>70</v>
      </c>
      <c r="C154" s="118">
        <v>0</v>
      </c>
      <c r="D154" s="119">
        <v>-6.4</v>
      </c>
      <c r="E154" s="117">
        <v>-8.3000000000000007</v>
      </c>
      <c r="F154" s="117">
        <f t="shared" si="16"/>
        <v>-14.700000000000001</v>
      </c>
      <c r="G154" s="21">
        <v>120</v>
      </c>
      <c r="H154" s="243" t="s">
        <v>71</v>
      </c>
      <c r="I154" s="1"/>
    </row>
    <row r="155" spans="1:9" ht="36.75" outlineLevel="1">
      <c r="A155" s="181"/>
      <c r="B155" s="193" t="s">
        <v>72</v>
      </c>
      <c r="C155" s="118"/>
      <c r="D155" s="136">
        <f>-15.6</f>
        <v>-15.6</v>
      </c>
      <c r="E155" s="136">
        <v>-5.4</v>
      </c>
      <c r="F155" s="117">
        <f t="shared" si="16"/>
        <v>-21</v>
      </c>
      <c r="G155" s="21">
        <v>190</v>
      </c>
      <c r="H155" s="243" t="s">
        <v>73</v>
      </c>
      <c r="I155" s="1"/>
    </row>
    <row r="156" spans="1:9" outlineLevel="1">
      <c r="A156" s="189"/>
      <c r="B156" s="177" t="s">
        <v>74</v>
      </c>
      <c r="C156" s="120">
        <f>SUM(C157:C158)</f>
        <v>0</v>
      </c>
      <c r="D156" s="137">
        <f>SUM(D157:D163)</f>
        <v>-11.3</v>
      </c>
      <c r="E156" s="137">
        <f>SUM(E157:E163)</f>
        <v>-21.8</v>
      </c>
      <c r="F156" s="137">
        <f t="shared" si="16"/>
        <v>-33.1</v>
      </c>
      <c r="G156" s="30">
        <f>SUM(G157:G158)</f>
        <v>625</v>
      </c>
      <c r="H156" s="106"/>
    </row>
    <row r="157" spans="1:9" ht="48.75" outlineLevel="1">
      <c r="A157" s="181"/>
      <c r="B157" s="193" t="s">
        <v>75</v>
      </c>
      <c r="C157" s="118"/>
      <c r="D157" s="136">
        <v>0</v>
      </c>
      <c r="E157" s="136">
        <f>-16.5+1.8</f>
        <v>-14.7</v>
      </c>
      <c r="F157" s="117">
        <f t="shared" si="16"/>
        <v>-14.7</v>
      </c>
      <c r="G157" s="21">
        <v>525</v>
      </c>
      <c r="H157" s="243" t="s">
        <v>162</v>
      </c>
    </row>
    <row r="158" spans="1:9" outlineLevel="1">
      <c r="A158" s="181"/>
      <c r="B158" s="193" t="s">
        <v>76</v>
      </c>
      <c r="C158" s="118"/>
      <c r="D158" s="136">
        <v>-6.5</v>
      </c>
      <c r="E158" s="136">
        <v>-3.5</v>
      </c>
      <c r="F158" s="117">
        <f t="shared" ref="F158:F163" si="17">SUM(C158:E158)</f>
        <v>-10</v>
      </c>
      <c r="G158" s="21">
        <v>100</v>
      </c>
      <c r="H158" s="21"/>
    </row>
    <row r="159" spans="1:9" ht="30" outlineLevel="1">
      <c r="A159" s="181"/>
      <c r="B159" s="193" t="s">
        <v>77</v>
      </c>
      <c r="C159" s="118"/>
      <c r="D159" s="38">
        <v>-1.8</v>
      </c>
      <c r="E159" s="38">
        <v>-1.8</v>
      </c>
      <c r="F159" s="117">
        <f t="shared" si="17"/>
        <v>-3.6</v>
      </c>
      <c r="G159" s="21">
        <v>40</v>
      </c>
      <c r="H159" s="243" t="s">
        <v>78</v>
      </c>
      <c r="I159" s="139"/>
    </row>
    <row r="160" spans="1:9" ht="30" outlineLevel="1">
      <c r="A160" s="181"/>
      <c r="B160" s="193" t="s">
        <v>92</v>
      </c>
      <c r="C160" s="118"/>
      <c r="D160" s="165">
        <v>-0.9</v>
      </c>
      <c r="E160" s="165">
        <v>-0.9</v>
      </c>
      <c r="F160" s="136">
        <f t="shared" si="17"/>
        <v>-1.8</v>
      </c>
      <c r="G160" s="21"/>
      <c r="H160" s="243" t="s">
        <v>163</v>
      </c>
    </row>
    <row r="161" spans="1:8" ht="30" outlineLevel="1">
      <c r="A161" s="181"/>
      <c r="B161" s="193" t="s">
        <v>79</v>
      </c>
      <c r="C161" s="118"/>
      <c r="D161" s="165">
        <v>-0.3</v>
      </c>
      <c r="E161" s="165">
        <v>-0.3</v>
      </c>
      <c r="F161" s="136">
        <f t="shared" si="17"/>
        <v>-0.6</v>
      </c>
      <c r="G161" s="21">
        <v>5</v>
      </c>
      <c r="H161" s="243" t="s">
        <v>345</v>
      </c>
    </row>
    <row r="162" spans="1:8" outlineLevel="1">
      <c r="A162" s="181"/>
      <c r="B162" s="193" t="s">
        <v>148</v>
      </c>
      <c r="C162" s="118"/>
      <c r="D162" s="272">
        <v>-1.2</v>
      </c>
      <c r="E162" s="272">
        <v>0</v>
      </c>
      <c r="F162" s="136">
        <f t="shared" si="17"/>
        <v>-1.2</v>
      </c>
      <c r="G162" s="21">
        <v>20</v>
      </c>
      <c r="H162" s="243" t="s">
        <v>149</v>
      </c>
    </row>
    <row r="163" spans="1:8" ht="30" outlineLevel="1">
      <c r="A163" s="181"/>
      <c r="B163" s="193" t="s">
        <v>80</v>
      </c>
      <c r="C163" s="118"/>
      <c r="D163" s="165">
        <v>-0.6</v>
      </c>
      <c r="E163" s="165">
        <v>-0.6</v>
      </c>
      <c r="F163" s="136">
        <f t="shared" si="17"/>
        <v>-1.2</v>
      </c>
      <c r="G163" s="21">
        <v>10</v>
      </c>
      <c r="H163" s="243" t="s">
        <v>345</v>
      </c>
    </row>
    <row r="164" spans="1:8" ht="30" outlineLevel="1">
      <c r="A164" s="237" t="s">
        <v>8</v>
      </c>
      <c r="B164" s="209" t="s">
        <v>81</v>
      </c>
      <c r="C164" s="125">
        <v>-2.2999999999999998</v>
      </c>
      <c r="D164" s="126">
        <v>0</v>
      </c>
      <c r="E164" s="126">
        <v>0</v>
      </c>
      <c r="F164" s="126">
        <f>SUM(C164:E164)</f>
        <v>-2.2999999999999998</v>
      </c>
      <c r="G164" s="127"/>
      <c r="H164" s="238"/>
    </row>
    <row r="165" spans="1:8" outlineLevel="1">
      <c r="A165" s="181"/>
      <c r="B165" s="202"/>
      <c r="C165" s="118"/>
      <c r="D165" s="119"/>
      <c r="E165" s="119"/>
      <c r="F165" s="119"/>
      <c r="G165" s="21"/>
      <c r="H165" s="203"/>
    </row>
    <row r="166" spans="1:8" ht="15.75" outlineLevel="1" thickBot="1">
      <c r="A166" s="457"/>
      <c r="B166" s="452" t="s">
        <v>232</v>
      </c>
      <c r="C166" s="453">
        <v>-46.2</v>
      </c>
      <c r="D166" s="454">
        <v>0</v>
      </c>
      <c r="E166" s="454">
        <v>0</v>
      </c>
      <c r="F166" s="454">
        <f>SUM(C166:E166)</f>
        <v>-46.2</v>
      </c>
      <c r="G166" s="455"/>
      <c r="H166" s="458"/>
    </row>
    <row r="167" spans="1:8">
      <c r="C167" s="19"/>
      <c r="D167" s="20"/>
      <c r="E167" s="20"/>
      <c r="F167" s="20"/>
      <c r="G167" s="98"/>
    </row>
    <row r="168" spans="1:8" ht="15.75" thickBot="1">
      <c r="C168" s="19"/>
      <c r="D168" s="20"/>
      <c r="E168" s="20"/>
      <c r="F168" s="20"/>
      <c r="G168" s="98"/>
    </row>
    <row r="169" spans="1:8" ht="15.75" customHeight="1" thickBot="1">
      <c r="C169" s="432" t="s">
        <v>157</v>
      </c>
      <c r="D169" s="433"/>
      <c r="E169" s="433"/>
      <c r="F169" s="433"/>
      <c r="G169" s="434"/>
      <c r="H169" s="2"/>
    </row>
    <row r="170" spans="1:8" ht="60">
      <c r="A170" s="140"/>
      <c r="B170" s="141"/>
      <c r="C170" s="142" t="s">
        <v>153</v>
      </c>
      <c r="D170" s="143" t="s">
        <v>154</v>
      </c>
      <c r="E170" s="143" t="s">
        <v>155</v>
      </c>
      <c r="F170" s="143" t="s">
        <v>134</v>
      </c>
      <c r="G170" s="6" t="s">
        <v>1</v>
      </c>
      <c r="H170" s="2"/>
    </row>
    <row r="171" spans="1:8">
      <c r="A171" s="145" t="s">
        <v>82</v>
      </c>
      <c r="B171" s="146"/>
      <c r="C171" s="147"/>
      <c r="D171" s="148"/>
      <c r="E171" s="148"/>
      <c r="F171" s="148"/>
      <c r="G171" s="149"/>
      <c r="H171" s="2"/>
    </row>
    <row r="172" spans="1:8">
      <c r="A172" s="150"/>
      <c r="B172" s="2" t="s">
        <v>83</v>
      </c>
      <c r="C172" s="19">
        <v>0</v>
      </c>
      <c r="D172" s="20">
        <v>-2.5</v>
      </c>
      <c r="E172" s="20">
        <v>-2.5</v>
      </c>
      <c r="F172" s="20">
        <f>SUM(C172:E172)</f>
        <v>-5</v>
      </c>
      <c r="G172" s="98"/>
      <c r="H172" s="2"/>
    </row>
    <row r="173" spans="1:8">
      <c r="A173" s="150"/>
      <c r="B173" s="258" t="s">
        <v>84</v>
      </c>
      <c r="C173" s="74">
        <f>C78+C89+C125+C148</f>
        <v>674.96800099999996</v>
      </c>
      <c r="D173" s="259">
        <f>D78+D89+D125+D148-D172</f>
        <v>335.56599999999997</v>
      </c>
      <c r="E173" s="259">
        <f>E78+E89+E125+E148-E172</f>
        <v>357.09425570313442</v>
      </c>
      <c r="F173" s="259">
        <f t="shared" ref="F173:F176" si="18">SUM(C173:E173)</f>
        <v>1367.6282567031344</v>
      </c>
      <c r="G173" s="260"/>
      <c r="H173" s="2"/>
    </row>
    <row r="174" spans="1:8">
      <c r="A174" s="150"/>
      <c r="B174" s="2" t="s">
        <v>130</v>
      </c>
      <c r="C174" s="19">
        <f>C11+C19+C23+C25+C27+C29+C44+C47+C64+C67+C69+C94+C99+C100+C104+C105+C106+C112+C119+C121+C131+C142+C144+C153+C164+C166</f>
        <v>-275.50200000000001</v>
      </c>
      <c r="D174" s="20">
        <v>0</v>
      </c>
      <c r="E174" s="20">
        <v>0</v>
      </c>
      <c r="F174" s="20">
        <f t="shared" si="18"/>
        <v>-275.50200000000001</v>
      </c>
      <c r="G174" s="98"/>
      <c r="H174" s="2"/>
    </row>
    <row r="175" spans="1:8">
      <c r="A175" s="150"/>
      <c r="B175" s="2" t="s">
        <v>131</v>
      </c>
      <c r="C175" s="19">
        <f>C176-C174</f>
        <v>-291.00000000000006</v>
      </c>
      <c r="D175" s="20">
        <f t="shared" ref="D175:E175" si="19">D176-D174</f>
        <v>-404.02</v>
      </c>
      <c r="E175" s="20">
        <f t="shared" si="19"/>
        <v>-358.37499999999994</v>
      </c>
      <c r="F175" s="20">
        <f t="shared" si="18"/>
        <v>-1053.395</v>
      </c>
      <c r="G175" s="98"/>
      <c r="H175" s="2"/>
    </row>
    <row r="176" spans="1:8">
      <c r="A176" s="150"/>
      <c r="B176" s="2" t="s">
        <v>4</v>
      </c>
      <c r="C176" s="19">
        <f>C80+C90+C126+C149</f>
        <v>-566.50200000000007</v>
      </c>
      <c r="D176" s="20">
        <f>D80+D90+D126+D149+D172</f>
        <v>-404.02</v>
      </c>
      <c r="E176" s="20">
        <f>E80+E90+E126+E149+E172</f>
        <v>-358.37499999999994</v>
      </c>
      <c r="F176" s="20">
        <f t="shared" si="18"/>
        <v>-1328.8969999999999</v>
      </c>
      <c r="G176" s="151">
        <f>G80+G90+G126+G149</f>
        <v>11472</v>
      </c>
      <c r="H176" s="2"/>
    </row>
    <row r="177" spans="1:8" ht="15.75" thickBot="1">
      <c r="A177" s="152"/>
      <c r="B177" s="261" t="s">
        <v>85</v>
      </c>
      <c r="C177" s="153">
        <f>C173+C176</f>
        <v>108.46600099999989</v>
      </c>
      <c r="D177" s="154">
        <f>D173+D176</f>
        <v>-68.454000000000008</v>
      </c>
      <c r="E177" s="154">
        <f>E173+E176</f>
        <v>-1.2807442968655209</v>
      </c>
      <c r="F177" s="154">
        <f>SUM(C177:E177)</f>
        <v>38.731256703134363</v>
      </c>
      <c r="G177" s="155"/>
      <c r="H177" s="2"/>
    </row>
    <row r="178" spans="1:8">
      <c r="C178"/>
      <c r="E178"/>
      <c r="F178"/>
      <c r="G178"/>
      <c r="H178" s="2"/>
    </row>
    <row r="179" spans="1:8">
      <c r="C179" s="267"/>
      <c r="E179"/>
      <c r="F179"/>
      <c r="G179"/>
      <c r="H179" s="2"/>
    </row>
    <row r="180" spans="1:8">
      <c r="C180"/>
      <c r="E180"/>
      <c r="F180"/>
      <c r="G180"/>
      <c r="H180" s="2"/>
    </row>
    <row r="181" spans="1:8">
      <c r="A181" s="1" t="s">
        <v>86</v>
      </c>
      <c r="C181"/>
    </row>
    <row r="182" spans="1:8">
      <c r="A182" t="s">
        <v>164</v>
      </c>
      <c r="C182"/>
    </row>
    <row r="183" spans="1:8">
      <c r="A183" t="s">
        <v>138</v>
      </c>
      <c r="C183"/>
    </row>
    <row r="184" spans="1:8">
      <c r="A184" t="s">
        <v>139</v>
      </c>
      <c r="C184"/>
    </row>
    <row r="185" spans="1:8">
      <c r="A185" t="s">
        <v>165</v>
      </c>
      <c r="C185"/>
    </row>
    <row r="186" spans="1:8">
      <c r="C186"/>
    </row>
    <row r="187" spans="1:8">
      <c r="C187"/>
    </row>
    <row r="188" spans="1:8">
      <c r="C188"/>
    </row>
    <row r="189" spans="1:8">
      <c r="C189"/>
    </row>
    <row r="190" spans="1:8">
      <c r="C190"/>
    </row>
    <row r="191" spans="1:8">
      <c r="C191"/>
    </row>
    <row r="192" spans="1:8">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sheetData>
  <mergeCells count="15">
    <mergeCell ref="C87:G87"/>
    <mergeCell ref="C3:G3"/>
    <mergeCell ref="A4:B4"/>
    <mergeCell ref="C32:G32"/>
    <mergeCell ref="A33:B33"/>
    <mergeCell ref="C50:G50"/>
    <mergeCell ref="A51:B51"/>
    <mergeCell ref="C75:G75"/>
    <mergeCell ref="A77:B77"/>
    <mergeCell ref="A147:B147"/>
    <mergeCell ref="C169:G169"/>
    <mergeCell ref="A88:B88"/>
    <mergeCell ref="C123:G123"/>
    <mergeCell ref="A124:B124"/>
    <mergeCell ref="C146:G14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EC94-3BB3-4006-9D2E-B09D03885C36}">
  <dimension ref="A1:K56"/>
  <sheetViews>
    <sheetView workbookViewId="0">
      <selection activeCell="B10" sqref="B10"/>
    </sheetView>
  </sheetViews>
  <sheetFormatPr defaultColWidth="12.7109375" defaultRowHeight="15"/>
  <cols>
    <col min="1" max="1" width="31.85546875" style="343" customWidth="1"/>
    <col min="2" max="5" width="22.7109375" customWidth="1"/>
    <col min="6" max="6" width="19.42578125" customWidth="1"/>
    <col min="7" max="7" width="52.42578125" customWidth="1"/>
    <col min="8" max="8" width="56.85546875" customWidth="1"/>
    <col min="9" max="9" width="34.85546875" style="279" customWidth="1"/>
  </cols>
  <sheetData>
    <row r="1" spans="1:11" ht="23.25">
      <c r="A1" s="437" t="s">
        <v>216</v>
      </c>
      <c r="B1" s="438"/>
      <c r="C1" s="438"/>
      <c r="D1" s="438"/>
      <c r="E1" s="438"/>
      <c r="F1" s="438"/>
      <c r="G1" s="438"/>
      <c r="H1" s="439"/>
    </row>
    <row r="2" spans="1:11" ht="21">
      <c r="A2" s="440" t="s">
        <v>328</v>
      </c>
      <c r="B2" s="440"/>
      <c r="C2" s="440"/>
      <c r="D2" s="440"/>
      <c r="E2" s="440"/>
      <c r="F2" s="440"/>
      <c r="G2" s="440"/>
      <c r="H2" s="440"/>
      <c r="I2" s="280"/>
      <c r="J2" s="281"/>
      <c r="K2" s="281"/>
    </row>
    <row r="3" spans="1:11" ht="45">
      <c r="A3" s="377" t="s">
        <v>166</v>
      </c>
      <c r="B3" s="377" t="s">
        <v>229</v>
      </c>
      <c r="C3" s="377" t="s">
        <v>227</v>
      </c>
      <c r="D3" s="377" t="s">
        <v>230</v>
      </c>
      <c r="E3" s="377" t="s">
        <v>228</v>
      </c>
      <c r="F3" s="377" t="s">
        <v>217</v>
      </c>
      <c r="G3" s="377" t="s">
        <v>167</v>
      </c>
      <c r="H3" s="377" t="s">
        <v>331</v>
      </c>
      <c r="I3" s="282" t="s">
        <v>168</v>
      </c>
    </row>
    <row r="4" spans="1:11">
      <c r="A4" s="441" t="s">
        <v>169</v>
      </c>
      <c r="B4" s="441"/>
      <c r="C4" s="441"/>
      <c r="D4" s="283"/>
      <c r="E4" s="283"/>
      <c r="F4" s="283"/>
      <c r="G4" s="283"/>
      <c r="H4" s="283"/>
      <c r="I4" s="284"/>
    </row>
    <row r="5" spans="1:11" s="315" customFormat="1" ht="30">
      <c r="A5" s="338" t="s">
        <v>220</v>
      </c>
      <c r="B5" s="286">
        <v>10700000</v>
      </c>
      <c r="C5" s="286">
        <v>23700000</v>
      </c>
      <c r="D5" s="286">
        <v>17200000</v>
      </c>
      <c r="E5" s="339">
        <f>SUM(B5:D5)</f>
        <v>51600000</v>
      </c>
      <c r="F5" s="286" t="s">
        <v>218</v>
      </c>
      <c r="G5" s="287" t="s">
        <v>171</v>
      </c>
      <c r="H5" s="287" t="s">
        <v>172</v>
      </c>
      <c r="I5" s="314"/>
    </row>
    <row r="6" spans="1:11" ht="45">
      <c r="A6" s="341" t="s">
        <v>9</v>
      </c>
      <c r="B6" s="286">
        <v>1200000</v>
      </c>
      <c r="C6" s="286">
        <v>2190000</v>
      </c>
      <c r="D6" s="286">
        <v>4803000</v>
      </c>
      <c r="E6" s="339">
        <f>SUM(B6:D6)</f>
        <v>8193000</v>
      </c>
      <c r="F6" s="286" t="s">
        <v>218</v>
      </c>
      <c r="G6" s="287" t="s">
        <v>179</v>
      </c>
      <c r="H6" s="287" t="s">
        <v>233</v>
      </c>
    </row>
    <row r="7" spans="1:11" ht="30">
      <c r="A7" s="285" t="s">
        <v>221</v>
      </c>
      <c r="B7" s="288">
        <v>0</v>
      </c>
      <c r="C7" s="288">
        <v>0</v>
      </c>
      <c r="D7" s="288">
        <v>5000000</v>
      </c>
      <c r="E7" s="339">
        <f t="shared" ref="E7:E12" si="0">SUM(B7:D7)</f>
        <v>5000000</v>
      </c>
      <c r="F7" s="286" t="s">
        <v>218</v>
      </c>
      <c r="G7" s="287" t="s">
        <v>173</v>
      </c>
      <c r="H7" s="289" t="s">
        <v>174</v>
      </c>
    </row>
    <row r="8" spans="1:11" ht="60">
      <c r="A8" s="285" t="s">
        <v>222</v>
      </c>
      <c r="B8" s="288">
        <v>70600000</v>
      </c>
      <c r="C8" s="288">
        <v>4000000</v>
      </c>
      <c r="D8" s="288">
        <v>3300000</v>
      </c>
      <c r="E8" s="339">
        <f t="shared" si="0"/>
        <v>77900000</v>
      </c>
      <c r="F8" s="286" t="s">
        <v>218</v>
      </c>
      <c r="G8" s="287" t="s">
        <v>175</v>
      </c>
      <c r="H8" s="287" t="s">
        <v>176</v>
      </c>
      <c r="I8" s="290"/>
    </row>
    <row r="9" spans="1:11" ht="75">
      <c r="A9" s="285" t="s">
        <v>223</v>
      </c>
      <c r="B9" s="288">
        <v>0</v>
      </c>
      <c r="C9" s="288">
        <v>8000000</v>
      </c>
      <c r="D9" s="288">
        <v>12000000</v>
      </c>
      <c r="E9" s="339">
        <f t="shared" si="0"/>
        <v>20000000</v>
      </c>
      <c r="F9" s="286" t="s">
        <v>218</v>
      </c>
      <c r="G9" s="287" t="s">
        <v>177</v>
      </c>
      <c r="H9" s="287" t="s">
        <v>178</v>
      </c>
      <c r="I9" s="290"/>
    </row>
    <row r="10" spans="1:11" s="315" customFormat="1" ht="45">
      <c r="A10" s="341" t="s">
        <v>19</v>
      </c>
      <c r="B10" s="286">
        <v>5800000</v>
      </c>
      <c r="C10" s="286">
        <v>12400000</v>
      </c>
      <c r="D10" s="286">
        <v>12700000</v>
      </c>
      <c r="E10" s="339">
        <f t="shared" ref="E10" si="1">SUM(B10:D10)</f>
        <v>30900000</v>
      </c>
      <c r="F10" s="286" t="s">
        <v>218</v>
      </c>
      <c r="G10" s="205" t="s">
        <v>20</v>
      </c>
      <c r="H10" s="287" t="s">
        <v>233</v>
      </c>
      <c r="I10" s="314"/>
    </row>
    <row r="11" spans="1:11" ht="45">
      <c r="A11" s="285" t="s">
        <v>224</v>
      </c>
      <c r="B11" s="286">
        <v>0</v>
      </c>
      <c r="C11" s="286">
        <v>22600000</v>
      </c>
      <c r="D11" s="286">
        <v>27200000</v>
      </c>
      <c r="E11" s="339">
        <f t="shared" si="0"/>
        <v>49800000</v>
      </c>
      <c r="F11" s="286" t="s">
        <v>218</v>
      </c>
      <c r="G11" s="287" t="s">
        <v>180</v>
      </c>
      <c r="H11" s="287" t="s">
        <v>181</v>
      </c>
      <c r="I11" s="290"/>
    </row>
    <row r="12" spans="1:11" ht="60">
      <c r="A12" s="285" t="s">
        <v>225</v>
      </c>
      <c r="B12" s="286">
        <v>0</v>
      </c>
      <c r="C12" s="286">
        <v>4000000</v>
      </c>
      <c r="D12" s="286">
        <v>4000000</v>
      </c>
      <c r="E12" s="339">
        <f t="shared" si="0"/>
        <v>8000000</v>
      </c>
      <c r="F12" s="286" t="s">
        <v>218</v>
      </c>
      <c r="G12" s="340" t="s">
        <v>235</v>
      </c>
      <c r="H12" s="287" t="s">
        <v>182</v>
      </c>
      <c r="I12" s="290"/>
      <c r="J12" s="2"/>
    </row>
    <row r="13" spans="1:11" ht="45">
      <c r="A13" s="285" t="s">
        <v>226</v>
      </c>
      <c r="B13" s="286">
        <v>0</v>
      </c>
      <c r="C13" s="286">
        <v>7800000</v>
      </c>
      <c r="D13" s="286">
        <v>6000000</v>
      </c>
      <c r="E13" s="339">
        <f>SUM(B13:D13)</f>
        <v>13800000</v>
      </c>
      <c r="F13" s="286" t="s">
        <v>219</v>
      </c>
      <c r="G13" s="287" t="s">
        <v>183</v>
      </c>
      <c r="H13" s="287" t="s">
        <v>184</v>
      </c>
      <c r="I13" s="290"/>
    </row>
    <row r="14" spans="1:11" s="315" customFormat="1" ht="45">
      <c r="A14" s="341" t="s">
        <v>22</v>
      </c>
      <c r="B14" s="286">
        <v>4700000</v>
      </c>
      <c r="C14" s="286">
        <v>6900000</v>
      </c>
      <c r="D14" s="286">
        <v>5300000</v>
      </c>
      <c r="E14" s="339">
        <f>SUM(B14:D14)</f>
        <v>16900000</v>
      </c>
      <c r="F14" s="286" t="s">
        <v>218</v>
      </c>
      <c r="G14" s="287" t="s">
        <v>170</v>
      </c>
      <c r="H14" s="287" t="s">
        <v>233</v>
      </c>
      <c r="I14" s="314"/>
    </row>
    <row r="15" spans="1:11" ht="30">
      <c r="A15" s="342" t="s">
        <v>26</v>
      </c>
      <c r="B15" s="286">
        <v>400000</v>
      </c>
      <c r="C15" s="286">
        <v>0</v>
      </c>
      <c r="D15" s="286">
        <v>0</v>
      </c>
      <c r="E15" s="339">
        <f t="shared" ref="E15" si="2">SUM(B15:D15)</f>
        <v>400000</v>
      </c>
      <c r="F15" s="286"/>
      <c r="G15" s="287"/>
      <c r="H15" s="287" t="s">
        <v>234</v>
      </c>
    </row>
    <row r="16" spans="1:11" s="315" customFormat="1" ht="30">
      <c r="A16" s="342" t="s">
        <v>25</v>
      </c>
      <c r="B16" s="286">
        <v>5800000</v>
      </c>
      <c r="C16" s="286">
        <v>0</v>
      </c>
      <c r="D16" s="286">
        <v>0</v>
      </c>
      <c r="E16" s="339">
        <f>SUM(B16:D16)</f>
        <v>5800000</v>
      </c>
      <c r="F16" s="286"/>
      <c r="G16" s="287"/>
      <c r="H16" s="287" t="s">
        <v>234</v>
      </c>
      <c r="I16" s="314"/>
    </row>
    <row r="17" spans="1:9" s="315" customFormat="1" ht="30">
      <c r="A17" s="341" t="s">
        <v>231</v>
      </c>
      <c r="B17" s="286">
        <v>91900000</v>
      </c>
      <c r="C17" s="286">
        <v>0</v>
      </c>
      <c r="D17" s="286">
        <v>0</v>
      </c>
      <c r="E17" s="339">
        <f>SUM(B17:D17)</f>
        <v>91900000</v>
      </c>
      <c r="F17" s="286"/>
      <c r="G17" s="287"/>
      <c r="H17" s="287"/>
      <c r="I17" s="314"/>
    </row>
    <row r="18" spans="1:9">
      <c r="A18" s="292" t="s">
        <v>185</v>
      </c>
      <c r="B18" s="293">
        <f>SUM(B5:B17)</f>
        <v>191100000</v>
      </c>
      <c r="C18" s="293">
        <f>SUM(C5:C17)</f>
        <v>91590000</v>
      </c>
      <c r="D18" s="293">
        <f>SUM(D5:D17)</f>
        <v>97503000</v>
      </c>
      <c r="E18" s="293">
        <f>SUM(E5:E17)</f>
        <v>380193000</v>
      </c>
      <c r="F18" s="293"/>
      <c r="G18" s="294"/>
      <c r="H18" s="295"/>
      <c r="I18" s="290"/>
    </row>
    <row r="19" spans="1:9" ht="30">
      <c r="A19" s="292" t="s">
        <v>186</v>
      </c>
      <c r="B19" s="293">
        <v>185612005</v>
      </c>
      <c r="C19" s="293">
        <v>91593150</v>
      </c>
      <c r="D19" s="293">
        <v>97513420</v>
      </c>
      <c r="E19" s="293">
        <f>SUM(B19:D19)</f>
        <v>374718575</v>
      </c>
      <c r="F19" s="293"/>
      <c r="G19" s="296"/>
      <c r="H19" s="296"/>
    </row>
    <row r="20" spans="1:9">
      <c r="A20" s="292" t="s">
        <v>187</v>
      </c>
      <c r="B20" s="293">
        <v>5552000</v>
      </c>
      <c r="C20" s="293">
        <v>0</v>
      </c>
      <c r="D20" s="293">
        <v>0</v>
      </c>
      <c r="E20" s="293">
        <f>SUM(B20:D20)</f>
        <v>5552000</v>
      </c>
      <c r="F20" s="293"/>
      <c r="G20" s="296"/>
      <c r="H20" s="296"/>
    </row>
    <row r="21" spans="1:9">
      <c r="A21" s="292" t="s">
        <v>188</v>
      </c>
      <c r="B21" s="293">
        <f>B19+B20-B18</f>
        <v>64005</v>
      </c>
      <c r="C21" s="293">
        <f t="shared" ref="C21:D21" si="3">C19+C20-C18</f>
        <v>3150</v>
      </c>
      <c r="D21" s="293">
        <f t="shared" si="3"/>
        <v>10420</v>
      </c>
      <c r="E21" s="293">
        <f>SUM(B21:D21)</f>
        <v>77575</v>
      </c>
      <c r="F21" s="293"/>
      <c r="G21" s="295"/>
      <c r="H21" s="295"/>
      <c r="I21" s="290"/>
    </row>
    <row r="22" spans="1:9" ht="8.1" customHeight="1">
      <c r="A22" s="297"/>
      <c r="B22" s="286"/>
      <c r="C22" s="286"/>
      <c r="D22" s="286"/>
      <c r="E22" s="286"/>
      <c r="F22" s="286"/>
      <c r="G22" s="287"/>
      <c r="H22" s="287"/>
      <c r="I22" s="290"/>
    </row>
    <row r="23" spans="1:9">
      <c r="A23" s="441" t="s">
        <v>189</v>
      </c>
      <c r="B23" s="441"/>
      <c r="C23" s="283"/>
      <c r="D23" s="283"/>
      <c r="E23" s="283"/>
      <c r="F23" s="283"/>
      <c r="G23" s="283"/>
      <c r="H23" s="283"/>
      <c r="I23" s="298"/>
    </row>
    <row r="24" spans="1:9" ht="75">
      <c r="A24" s="285" t="s">
        <v>238</v>
      </c>
      <c r="B24" s="286">
        <v>68100000</v>
      </c>
      <c r="C24" s="286">
        <v>21000000</v>
      </c>
      <c r="D24" s="286">
        <v>2900000</v>
      </c>
      <c r="E24" s="339">
        <f t="shared" ref="E24:E30" si="4">SUM(B24:D24)</f>
        <v>92000000</v>
      </c>
      <c r="F24" s="286" t="s">
        <v>218</v>
      </c>
      <c r="G24" s="287" t="s">
        <v>190</v>
      </c>
      <c r="H24" s="287" t="s">
        <v>191</v>
      </c>
      <c r="I24" s="290"/>
    </row>
    <row r="25" spans="1:9" ht="75">
      <c r="A25" s="285" t="s">
        <v>237</v>
      </c>
      <c r="B25" s="286">
        <v>0</v>
      </c>
      <c r="C25" s="286">
        <v>4500000</v>
      </c>
      <c r="D25" s="286">
        <v>4600000</v>
      </c>
      <c r="E25" s="339">
        <f t="shared" si="4"/>
        <v>9100000</v>
      </c>
      <c r="F25" s="286" t="s">
        <v>218</v>
      </c>
      <c r="G25" s="287" t="s">
        <v>192</v>
      </c>
      <c r="H25" s="287" t="s">
        <v>193</v>
      </c>
      <c r="I25" s="290"/>
    </row>
    <row r="26" spans="1:9" ht="30">
      <c r="A26" s="285" t="s">
        <v>221</v>
      </c>
      <c r="B26" s="286">
        <v>0</v>
      </c>
      <c r="C26" s="286">
        <v>0</v>
      </c>
      <c r="D26" s="286">
        <v>1000000</v>
      </c>
      <c r="E26" s="339">
        <f t="shared" si="4"/>
        <v>1000000</v>
      </c>
      <c r="F26" s="286" t="s">
        <v>218</v>
      </c>
      <c r="G26" s="287" t="s">
        <v>246</v>
      </c>
      <c r="H26" s="287" t="s">
        <v>247</v>
      </c>
      <c r="I26" s="290"/>
    </row>
    <row r="27" spans="1:9" ht="45">
      <c r="A27" s="285" t="s">
        <v>225</v>
      </c>
      <c r="B27" s="286">
        <v>0</v>
      </c>
      <c r="C27" s="286">
        <v>2000000</v>
      </c>
      <c r="D27" s="286">
        <v>2200000</v>
      </c>
      <c r="E27" s="339">
        <f>SUM(B27:D27)</f>
        <v>4200000</v>
      </c>
      <c r="F27" s="286" t="s">
        <v>218</v>
      </c>
      <c r="G27" s="287" t="s">
        <v>198</v>
      </c>
      <c r="H27" s="287" t="s">
        <v>199</v>
      </c>
      <c r="I27" s="290"/>
    </row>
    <row r="28" spans="1:9" ht="45">
      <c r="A28" s="285" t="s">
        <v>225</v>
      </c>
      <c r="B28" s="286">
        <v>350000</v>
      </c>
      <c r="C28" s="286">
        <v>800000</v>
      </c>
      <c r="D28" s="286">
        <v>800000</v>
      </c>
      <c r="E28" s="339">
        <f>SUM(B28:D28)</f>
        <v>1950000</v>
      </c>
      <c r="F28" s="286" t="s">
        <v>218</v>
      </c>
      <c r="G28" s="287" t="s">
        <v>240</v>
      </c>
      <c r="H28" s="287" t="s">
        <v>233</v>
      </c>
      <c r="I28" s="290"/>
    </row>
    <row r="29" spans="1:9" ht="45">
      <c r="A29" s="299" t="s">
        <v>236</v>
      </c>
      <c r="B29" s="286">
        <v>730000</v>
      </c>
      <c r="C29" s="286">
        <v>1300000</v>
      </c>
      <c r="D29" s="286">
        <v>1300000</v>
      </c>
      <c r="E29" s="344">
        <f t="shared" si="4"/>
        <v>3330000</v>
      </c>
      <c r="F29" s="288" t="s">
        <v>219</v>
      </c>
      <c r="G29" s="287" t="s">
        <v>239</v>
      </c>
      <c r="H29" s="287" t="s">
        <v>233</v>
      </c>
      <c r="I29" s="290"/>
    </row>
    <row r="30" spans="1:9" ht="45">
      <c r="A30" s="299" t="s">
        <v>236</v>
      </c>
      <c r="B30" s="288">
        <v>0</v>
      </c>
      <c r="C30" s="288">
        <v>3700000</v>
      </c>
      <c r="D30" s="288">
        <v>3800000</v>
      </c>
      <c r="E30" s="344">
        <f t="shared" si="4"/>
        <v>7500000</v>
      </c>
      <c r="F30" s="288" t="s">
        <v>219</v>
      </c>
      <c r="G30" s="289" t="s">
        <v>194</v>
      </c>
      <c r="H30" s="289" t="s">
        <v>195</v>
      </c>
      <c r="I30" s="290"/>
    </row>
    <row r="31" spans="1:9" ht="30">
      <c r="A31" s="299" t="s">
        <v>38</v>
      </c>
      <c r="B31" s="288">
        <v>0</v>
      </c>
      <c r="C31" s="288">
        <v>0</v>
      </c>
      <c r="D31" s="288">
        <v>962000</v>
      </c>
      <c r="E31" s="339">
        <f>SUM(B31:D31)</f>
        <v>962000</v>
      </c>
      <c r="F31" s="286" t="s">
        <v>218</v>
      </c>
      <c r="G31" s="289" t="s">
        <v>196</v>
      </c>
      <c r="H31" s="289" t="s">
        <v>197</v>
      </c>
      <c r="I31" s="290"/>
    </row>
    <row r="32" spans="1:9" ht="30">
      <c r="A32" s="342" t="s">
        <v>25</v>
      </c>
      <c r="B32" s="288">
        <v>197000</v>
      </c>
      <c r="C32" s="288">
        <v>0</v>
      </c>
      <c r="D32" s="288">
        <v>0</v>
      </c>
      <c r="E32" s="339">
        <f t="shared" ref="E32" si="5">SUM(B32:D32)</f>
        <v>197000</v>
      </c>
      <c r="F32" s="286"/>
      <c r="G32" s="289"/>
      <c r="H32" s="287" t="s">
        <v>234</v>
      </c>
      <c r="I32" s="290"/>
    </row>
    <row r="33" spans="1:9">
      <c r="A33" s="300" t="s">
        <v>200</v>
      </c>
      <c r="B33" s="301">
        <f>SUM(B24:B32)</f>
        <v>69377000</v>
      </c>
      <c r="C33" s="301">
        <f>SUM(C24:C32)</f>
        <v>33300000</v>
      </c>
      <c r="D33" s="301">
        <f>SUM(D24:D32)</f>
        <v>17562000</v>
      </c>
      <c r="E33" s="301">
        <f>SUM(E24:E32)</f>
        <v>120239000</v>
      </c>
      <c r="F33" s="301"/>
      <c r="G33" s="302"/>
      <c r="H33" s="302"/>
      <c r="I33" s="290"/>
    </row>
    <row r="34" spans="1:9">
      <c r="A34" s="300" t="s">
        <v>201</v>
      </c>
      <c r="B34" s="301">
        <v>67496800</v>
      </c>
      <c r="C34" s="301">
        <v>33306600</v>
      </c>
      <c r="D34" s="301">
        <v>35459425</v>
      </c>
      <c r="E34" s="301">
        <f>SUM(B34:D34)</f>
        <v>136262825</v>
      </c>
      <c r="F34" s="301"/>
      <c r="G34" s="303"/>
      <c r="H34" s="303"/>
    </row>
    <row r="35" spans="1:9">
      <c r="A35" s="300" t="s">
        <v>187</v>
      </c>
      <c r="B35" s="301">
        <v>2018848</v>
      </c>
      <c r="C35" s="301">
        <v>0</v>
      </c>
      <c r="D35" s="301">
        <v>0</v>
      </c>
      <c r="E35" s="301">
        <f>SUM(B35:D35)</f>
        <v>2018848</v>
      </c>
      <c r="F35" s="301"/>
      <c r="G35" s="303"/>
      <c r="H35" s="303"/>
    </row>
    <row r="36" spans="1:9">
      <c r="A36" s="300" t="s">
        <v>202</v>
      </c>
      <c r="B36" s="301">
        <f>B34+B35-B33</f>
        <v>138648</v>
      </c>
      <c r="C36" s="301">
        <f>C34+C35-C33</f>
        <v>6600</v>
      </c>
      <c r="D36" s="301">
        <f>D34+D35-D33</f>
        <v>17897425</v>
      </c>
      <c r="E36" s="301">
        <f>SUM(B36:D36)</f>
        <v>18042673</v>
      </c>
      <c r="F36" s="301"/>
      <c r="G36" s="302"/>
      <c r="H36" s="302"/>
      <c r="I36" s="290"/>
    </row>
    <row r="37" spans="1:9" ht="11.1" customHeight="1">
      <c r="A37" s="297"/>
      <c r="B37" s="286"/>
      <c r="C37" s="286"/>
      <c r="D37" s="286"/>
      <c r="E37" s="286"/>
      <c r="F37" s="286"/>
      <c r="G37" s="287"/>
      <c r="H37" s="287"/>
      <c r="I37" s="290"/>
    </row>
    <row r="38" spans="1:9">
      <c r="A38" s="441" t="s">
        <v>203</v>
      </c>
      <c r="B38" s="441"/>
      <c r="C38" s="441"/>
      <c r="D38" s="283"/>
      <c r="E38" s="283"/>
      <c r="F38" s="283"/>
      <c r="G38" s="283"/>
      <c r="H38" s="283"/>
      <c r="I38" s="298"/>
    </row>
    <row r="39" spans="1:9" ht="74.25">
      <c r="A39" s="285" t="s">
        <v>241</v>
      </c>
      <c r="B39" s="286">
        <v>86000000</v>
      </c>
      <c r="C39" s="286">
        <v>18500000</v>
      </c>
      <c r="D39" s="286">
        <v>0</v>
      </c>
      <c r="E39" s="339">
        <f t="shared" ref="E39:E44" si="6">SUM(B39:D39)</f>
        <v>104500000</v>
      </c>
      <c r="F39" s="286" t="s">
        <v>218</v>
      </c>
      <c r="G39" s="287" t="s">
        <v>205</v>
      </c>
      <c r="H39" s="291" t="s">
        <v>206</v>
      </c>
      <c r="I39" s="290"/>
    </row>
    <row r="40" spans="1:9" ht="75">
      <c r="A40" s="285" t="s">
        <v>242</v>
      </c>
      <c r="B40" s="286">
        <v>0</v>
      </c>
      <c r="C40" s="286">
        <v>5000000</v>
      </c>
      <c r="D40" s="286">
        <v>5100000</v>
      </c>
      <c r="E40" s="339">
        <f t="shared" si="6"/>
        <v>10100000</v>
      </c>
      <c r="F40" s="286" t="s">
        <v>218</v>
      </c>
      <c r="G40" s="287" t="s">
        <v>207</v>
      </c>
      <c r="H40" s="287" t="s">
        <v>208</v>
      </c>
      <c r="I40" s="290"/>
    </row>
    <row r="41" spans="1:9" ht="60">
      <c r="A41" s="285" t="s">
        <v>225</v>
      </c>
      <c r="B41" s="286">
        <v>0</v>
      </c>
      <c r="C41" s="286">
        <v>12000000</v>
      </c>
      <c r="D41" s="286">
        <v>12400000</v>
      </c>
      <c r="E41" s="339">
        <f t="shared" si="6"/>
        <v>24400000</v>
      </c>
      <c r="F41" s="286" t="s">
        <v>218</v>
      </c>
      <c r="G41" s="287" t="s">
        <v>245</v>
      </c>
      <c r="H41" s="287" t="s">
        <v>209</v>
      </c>
      <c r="I41" s="290"/>
    </row>
    <row r="42" spans="1:9" ht="45">
      <c r="A42" s="285" t="s">
        <v>225</v>
      </c>
      <c r="B42" s="286">
        <v>369000</v>
      </c>
      <c r="C42" s="286">
        <v>1900000</v>
      </c>
      <c r="D42" s="286">
        <v>2000000</v>
      </c>
      <c r="E42" s="339">
        <f t="shared" si="6"/>
        <v>4269000</v>
      </c>
      <c r="F42" s="286" t="s">
        <v>218</v>
      </c>
      <c r="G42" s="287" t="s">
        <v>204</v>
      </c>
      <c r="H42" s="287" t="s">
        <v>233</v>
      </c>
      <c r="I42" s="290"/>
    </row>
    <row r="43" spans="1:9" ht="30">
      <c r="A43" s="285" t="s">
        <v>142</v>
      </c>
      <c r="B43" s="286">
        <v>0</v>
      </c>
      <c r="C43" s="286">
        <v>2000000</v>
      </c>
      <c r="D43" s="286">
        <v>2000000</v>
      </c>
      <c r="E43" s="339">
        <f t="shared" si="6"/>
        <v>4000000</v>
      </c>
      <c r="F43" s="286" t="s">
        <v>218</v>
      </c>
      <c r="G43" s="287" t="s">
        <v>243</v>
      </c>
      <c r="H43" s="287" t="s">
        <v>244</v>
      </c>
      <c r="I43" s="290"/>
    </row>
    <row r="44" spans="1:9" ht="30">
      <c r="A44" s="342" t="s">
        <v>25</v>
      </c>
      <c r="B44" s="286">
        <v>456000</v>
      </c>
      <c r="C44" s="286">
        <v>0</v>
      </c>
      <c r="D44" s="286">
        <v>0</v>
      </c>
      <c r="E44" s="339">
        <f t="shared" si="6"/>
        <v>456000</v>
      </c>
      <c r="F44" s="286"/>
      <c r="G44" s="287"/>
      <c r="H44" s="287" t="s">
        <v>234</v>
      </c>
      <c r="I44" s="290"/>
    </row>
    <row r="45" spans="1:9">
      <c r="A45" s="300" t="s">
        <v>210</v>
      </c>
      <c r="B45" s="301">
        <f>SUM(B39:B44)</f>
        <v>86825000</v>
      </c>
      <c r="C45" s="301">
        <f t="shared" ref="C45:D45" si="7">SUM(C39:C44)</f>
        <v>39400000</v>
      </c>
      <c r="D45" s="301">
        <f t="shared" si="7"/>
        <v>21500000</v>
      </c>
      <c r="E45" s="301">
        <f>SUM(E39:E44)</f>
        <v>147725000</v>
      </c>
      <c r="F45" s="301"/>
      <c r="G45" s="302"/>
      <c r="H45" s="302"/>
    </row>
    <row r="46" spans="1:9" ht="30">
      <c r="A46" s="300" t="s">
        <v>211</v>
      </c>
      <c r="B46" s="301">
        <v>84371000</v>
      </c>
      <c r="C46" s="301">
        <v>41633250</v>
      </c>
      <c r="D46" s="301">
        <v>44324281</v>
      </c>
      <c r="E46" s="301">
        <f>SUM(B46:D46)</f>
        <v>170328531</v>
      </c>
      <c r="F46" s="301"/>
      <c r="G46" s="303"/>
      <c r="H46" s="303"/>
    </row>
    <row r="47" spans="1:9">
      <c r="A47" s="300" t="s">
        <v>187</v>
      </c>
      <c r="B47" s="301">
        <v>2523560</v>
      </c>
      <c r="C47" s="301">
        <v>0</v>
      </c>
      <c r="D47" s="301">
        <v>0</v>
      </c>
      <c r="E47" s="301">
        <f>SUM(B47:D47)</f>
        <v>2523560</v>
      </c>
      <c r="F47" s="301"/>
      <c r="G47" s="303"/>
      <c r="H47" s="303"/>
    </row>
    <row r="48" spans="1:9">
      <c r="A48" s="300" t="s">
        <v>212</v>
      </c>
      <c r="B48" s="301">
        <f>B46+B47-B45</f>
        <v>69560</v>
      </c>
      <c r="C48" s="301">
        <f>C46+C47-C45</f>
        <v>2233250</v>
      </c>
      <c r="D48" s="301">
        <f>D46+D47-D45</f>
        <v>22824281</v>
      </c>
      <c r="E48" s="301">
        <f>SUM(B48:D48)</f>
        <v>25127091</v>
      </c>
      <c r="F48" s="301"/>
      <c r="G48" s="302"/>
      <c r="H48" s="302"/>
      <c r="I48" s="290"/>
    </row>
    <row r="49" spans="1:8" ht="10.35" customHeight="1">
      <c r="A49" s="297"/>
      <c r="B49" s="286"/>
      <c r="C49" s="286"/>
      <c r="D49" s="286"/>
      <c r="E49" s="286"/>
      <c r="F49" s="286"/>
      <c r="G49" s="287"/>
      <c r="H49" s="287"/>
    </row>
    <row r="50" spans="1:8">
      <c r="A50" s="304" t="s">
        <v>213</v>
      </c>
      <c r="B50" s="305">
        <f t="shared" ref="B50:D51" si="8">B18+B33+B45</f>
        <v>347302000</v>
      </c>
      <c r="C50" s="305">
        <f t="shared" si="8"/>
        <v>164290000</v>
      </c>
      <c r="D50" s="305">
        <f t="shared" si="8"/>
        <v>136565000</v>
      </c>
      <c r="E50" s="305">
        <f>SUM(B50:D50)</f>
        <v>648157000</v>
      </c>
      <c r="F50" s="305"/>
      <c r="G50" s="306"/>
      <c r="H50" s="306"/>
    </row>
    <row r="51" spans="1:8" ht="15.75">
      <c r="A51" s="307" t="s">
        <v>214</v>
      </c>
      <c r="B51" s="305">
        <f t="shared" si="8"/>
        <v>337479805</v>
      </c>
      <c r="C51" s="305">
        <f t="shared" si="8"/>
        <v>166533000</v>
      </c>
      <c r="D51" s="305">
        <f t="shared" si="8"/>
        <v>177297126</v>
      </c>
      <c r="E51" s="305">
        <f>SUM(B51:D51)</f>
        <v>681309931</v>
      </c>
      <c r="F51" s="305"/>
      <c r="G51" s="308"/>
      <c r="H51" s="308"/>
    </row>
    <row r="52" spans="1:8" ht="15.75">
      <c r="A52" s="307" t="s">
        <v>187</v>
      </c>
      <c r="B52" s="305">
        <f>B47+B35+B20</f>
        <v>10094408</v>
      </c>
      <c r="C52" s="305">
        <f>C47+C35+C20</f>
        <v>0</v>
      </c>
      <c r="D52" s="305">
        <f>D47+D35+D20</f>
        <v>0</v>
      </c>
      <c r="E52" s="305">
        <f>SUM(B52:D52)</f>
        <v>10094408</v>
      </c>
      <c r="F52" s="305"/>
      <c r="G52" s="308"/>
      <c r="H52" s="308"/>
    </row>
    <row r="53" spans="1:8">
      <c r="A53" s="307" t="s">
        <v>215</v>
      </c>
      <c r="B53" s="309">
        <f>B51+B52-B50</f>
        <v>272213</v>
      </c>
      <c r="C53" s="309">
        <f>C51+C52-C50</f>
        <v>2243000</v>
      </c>
      <c r="D53" s="309">
        <f>D51+D52-D50</f>
        <v>40732126</v>
      </c>
      <c r="E53" s="305">
        <f>SUM(B53:D53)</f>
        <v>43247339</v>
      </c>
      <c r="F53" s="305"/>
      <c r="G53" s="310"/>
      <c r="H53" s="310"/>
    </row>
    <row r="56" spans="1:8">
      <c r="C56" s="311"/>
      <c r="D56" s="312"/>
      <c r="E56" s="312"/>
      <c r="F56" s="312"/>
    </row>
  </sheetData>
  <mergeCells count="5">
    <mergeCell ref="A1:H1"/>
    <mergeCell ref="A2:H2"/>
    <mergeCell ref="A4:C4"/>
    <mergeCell ref="A23:B23"/>
    <mergeCell ref="A38:C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D8BB5-C97E-4980-9EB5-F546D6C1E68A}">
  <dimension ref="A1:I86"/>
  <sheetViews>
    <sheetView workbookViewId="0">
      <selection activeCell="H6" sqref="H6"/>
    </sheetView>
  </sheetViews>
  <sheetFormatPr defaultColWidth="12.140625" defaultRowHeight="15"/>
  <cols>
    <col min="1" max="1" width="35.140625" customWidth="1"/>
    <col min="2" max="2" width="24.7109375" customWidth="1"/>
    <col min="3" max="3" width="22.5703125" customWidth="1"/>
    <col min="4" max="4" width="22.5703125" style="5" customWidth="1"/>
    <col min="5" max="5" width="22.5703125" customWidth="1"/>
    <col min="6" max="6" width="20.28515625" customWidth="1"/>
    <col min="7" max="7" width="23.28515625" customWidth="1"/>
    <col min="8" max="8" width="80.140625" style="375" customWidth="1"/>
    <col min="9" max="9" width="29.5703125" style="375" customWidth="1"/>
    <col min="10" max="10" width="84.42578125" customWidth="1"/>
    <col min="11" max="11" width="80.28515625" customWidth="1"/>
  </cols>
  <sheetData>
    <row r="1" spans="1:9" ht="23.25">
      <c r="A1" s="437" t="s">
        <v>269</v>
      </c>
      <c r="B1" s="442"/>
      <c r="C1" s="442"/>
      <c r="D1" s="442"/>
      <c r="E1" s="442"/>
      <c r="F1" s="442"/>
      <c r="G1" s="442"/>
      <c r="H1" s="443"/>
      <c r="I1"/>
    </row>
    <row r="2" spans="1:9" ht="21">
      <c r="A2" s="444" t="s">
        <v>329</v>
      </c>
      <c r="B2" s="445"/>
      <c r="C2" s="445"/>
      <c r="D2" s="445"/>
      <c r="E2" s="445"/>
      <c r="F2" s="445"/>
      <c r="G2" s="445"/>
      <c r="H2" s="446"/>
      <c r="I2"/>
    </row>
    <row r="3" spans="1:9" ht="45">
      <c r="A3" s="348" t="s">
        <v>248</v>
      </c>
      <c r="B3" s="377" t="s">
        <v>229</v>
      </c>
      <c r="C3" s="377" t="s">
        <v>227</v>
      </c>
      <c r="D3" s="377" t="s">
        <v>230</v>
      </c>
      <c r="E3" s="377" t="s">
        <v>228</v>
      </c>
      <c r="F3" s="377" t="s">
        <v>217</v>
      </c>
      <c r="G3" s="350" t="s">
        <v>167</v>
      </c>
      <c r="H3" s="348" t="s">
        <v>249</v>
      </c>
      <c r="I3"/>
    </row>
    <row r="4" spans="1:9" ht="15.75">
      <c r="A4" s="351" t="s">
        <v>250</v>
      </c>
      <c r="B4" s="351"/>
      <c r="C4" s="351"/>
      <c r="D4" s="351"/>
      <c r="E4" s="351"/>
      <c r="F4" s="351"/>
      <c r="G4" s="352"/>
      <c r="H4" s="351"/>
      <c r="I4"/>
    </row>
    <row r="5" spans="1:9" s="343" customFormat="1" ht="94.5">
      <c r="A5" s="342" t="s">
        <v>276</v>
      </c>
      <c r="B5" s="353">
        <v>0</v>
      </c>
      <c r="C5" s="353">
        <v>20000000</v>
      </c>
      <c r="D5" s="353">
        <v>29200000</v>
      </c>
      <c r="E5" s="378">
        <f>SUM(B5:D5)</f>
        <v>49200000</v>
      </c>
      <c r="F5" s="353" t="s">
        <v>270</v>
      </c>
      <c r="G5" s="354" t="s">
        <v>305</v>
      </c>
      <c r="H5" s="355" t="s">
        <v>271</v>
      </c>
    </row>
    <row r="6" spans="1:9" s="343" customFormat="1" ht="120">
      <c r="A6" s="342" t="s">
        <v>277</v>
      </c>
      <c r="B6" s="353">
        <v>3500000</v>
      </c>
      <c r="C6" s="353">
        <v>15000000</v>
      </c>
      <c r="D6" s="353">
        <v>14500000</v>
      </c>
      <c r="E6" s="378">
        <f t="shared" ref="E6:E9" si="0">SUM(B6:D6)</f>
        <v>33000000</v>
      </c>
      <c r="F6" s="353" t="s">
        <v>270</v>
      </c>
      <c r="G6" s="354" t="s">
        <v>306</v>
      </c>
      <c r="H6" s="356" t="s">
        <v>272</v>
      </c>
    </row>
    <row r="7" spans="1:9" s="343" customFormat="1" ht="120">
      <c r="A7" s="342" t="s">
        <v>278</v>
      </c>
      <c r="B7" s="357">
        <v>12200000</v>
      </c>
      <c r="C7" s="357">
        <v>2800000</v>
      </c>
      <c r="D7" s="357">
        <v>0</v>
      </c>
      <c r="E7" s="378">
        <f t="shared" si="0"/>
        <v>15000000</v>
      </c>
      <c r="F7" s="357" t="s">
        <v>270</v>
      </c>
      <c r="G7" s="354" t="s">
        <v>307</v>
      </c>
      <c r="H7" s="356" t="s">
        <v>273</v>
      </c>
    </row>
    <row r="8" spans="1:9" s="343" customFormat="1" ht="45">
      <c r="A8" s="342" t="s">
        <v>251</v>
      </c>
      <c r="B8" s="353">
        <v>0</v>
      </c>
      <c r="C8" s="357">
        <v>6000000</v>
      </c>
      <c r="D8" s="357">
        <v>6000000</v>
      </c>
      <c r="E8" s="378">
        <f t="shared" si="0"/>
        <v>12000000</v>
      </c>
      <c r="F8" s="357" t="s">
        <v>270</v>
      </c>
      <c r="G8" s="354" t="s">
        <v>309</v>
      </c>
      <c r="H8" s="356" t="s">
        <v>274</v>
      </c>
    </row>
    <row r="9" spans="1:9" s="343" customFormat="1" ht="180">
      <c r="A9" s="342" t="s">
        <v>252</v>
      </c>
      <c r="B9" s="353">
        <v>9700000</v>
      </c>
      <c r="C9" s="357">
        <v>0</v>
      </c>
      <c r="D9" s="357">
        <v>0</v>
      </c>
      <c r="E9" s="378">
        <f t="shared" si="0"/>
        <v>9700000</v>
      </c>
      <c r="F9" s="357" t="s">
        <v>270</v>
      </c>
      <c r="G9" s="354" t="s">
        <v>308</v>
      </c>
      <c r="H9" s="287" t="s">
        <v>275</v>
      </c>
    </row>
    <row r="10" spans="1:9" s="343" customFormat="1" ht="31.5">
      <c r="A10" s="358" t="s">
        <v>253</v>
      </c>
      <c r="B10" s="358"/>
      <c r="C10" s="359"/>
      <c r="D10" s="360"/>
      <c r="E10" s="360"/>
      <c r="F10" s="360"/>
      <c r="G10" s="361"/>
      <c r="H10" s="359"/>
    </row>
    <row r="11" spans="1:9" s="343" customFormat="1" ht="30">
      <c r="A11" s="342" t="s">
        <v>254</v>
      </c>
      <c r="B11" s="357">
        <v>11200000</v>
      </c>
      <c r="C11" s="357">
        <v>0</v>
      </c>
      <c r="D11" s="357">
        <v>0</v>
      </c>
      <c r="E11" s="379">
        <f>SUM(B11:D11)</f>
        <v>11200000</v>
      </c>
      <c r="F11" s="357" t="s">
        <v>270</v>
      </c>
      <c r="G11" s="354"/>
      <c r="H11" s="287" t="s">
        <v>292</v>
      </c>
    </row>
    <row r="12" spans="1:9" s="343" customFormat="1" ht="75">
      <c r="A12" s="362" t="s">
        <v>279</v>
      </c>
      <c r="B12" s="362"/>
      <c r="C12" s="363"/>
      <c r="D12" s="363"/>
      <c r="E12" s="378"/>
      <c r="F12" s="357"/>
      <c r="G12" s="364" t="s">
        <v>293</v>
      </c>
      <c r="H12" s="356" t="s">
        <v>290</v>
      </c>
    </row>
    <row r="13" spans="1:9" s="343" customFormat="1" ht="45">
      <c r="A13" s="362" t="s">
        <v>280</v>
      </c>
      <c r="B13" s="362"/>
      <c r="C13" s="363"/>
      <c r="D13" s="363"/>
      <c r="E13" s="378"/>
      <c r="F13" s="363"/>
      <c r="G13" s="364" t="s">
        <v>294</v>
      </c>
      <c r="H13" s="356" t="s">
        <v>255</v>
      </c>
    </row>
    <row r="14" spans="1:9" s="343" customFormat="1" ht="45">
      <c r="A14" s="362" t="s">
        <v>281</v>
      </c>
      <c r="B14" s="362"/>
      <c r="C14" s="363"/>
      <c r="D14" s="363"/>
      <c r="E14" s="378"/>
      <c r="F14" s="363"/>
      <c r="G14" s="364" t="s">
        <v>295</v>
      </c>
      <c r="H14" s="356" t="s">
        <v>302</v>
      </c>
    </row>
    <row r="15" spans="1:9" s="343" customFormat="1" ht="60">
      <c r="A15" s="362" t="s">
        <v>282</v>
      </c>
      <c r="B15" s="362"/>
      <c r="C15" s="363"/>
      <c r="D15" s="363"/>
      <c r="E15" s="378"/>
      <c r="F15" s="363"/>
      <c r="G15" s="364" t="s">
        <v>296</v>
      </c>
      <c r="H15" s="356" t="s">
        <v>303</v>
      </c>
    </row>
    <row r="16" spans="1:9" s="343" customFormat="1" ht="75">
      <c r="A16" s="362" t="s">
        <v>283</v>
      </c>
      <c r="B16" s="362"/>
      <c r="C16" s="363"/>
      <c r="D16" s="363"/>
      <c r="E16" s="378"/>
      <c r="F16" s="363"/>
      <c r="G16" s="364" t="s">
        <v>297</v>
      </c>
      <c r="H16" s="356" t="s">
        <v>304</v>
      </c>
    </row>
    <row r="17" spans="1:8" s="343" customFormat="1" ht="30">
      <c r="A17" s="342" t="s">
        <v>256</v>
      </c>
      <c r="B17" s="357">
        <v>11500000</v>
      </c>
      <c r="C17" s="357">
        <v>0</v>
      </c>
      <c r="D17" s="357">
        <v>0</v>
      </c>
      <c r="E17" s="378">
        <f>SUM(B17:D17)</f>
        <v>11500000</v>
      </c>
      <c r="F17" s="353" t="s">
        <v>270</v>
      </c>
      <c r="G17" s="354"/>
      <c r="H17" s="356" t="s">
        <v>311</v>
      </c>
    </row>
    <row r="18" spans="1:8" s="343" customFormat="1" ht="45">
      <c r="A18" s="362" t="s">
        <v>284</v>
      </c>
      <c r="B18" s="362"/>
      <c r="C18" s="363"/>
      <c r="D18" s="363"/>
      <c r="E18" s="378"/>
      <c r="F18" s="363"/>
      <c r="G18" s="364" t="s">
        <v>298</v>
      </c>
      <c r="H18" s="356" t="s">
        <v>257</v>
      </c>
    </row>
    <row r="19" spans="1:8" s="343" customFormat="1" ht="75">
      <c r="A19" s="362" t="s">
        <v>285</v>
      </c>
      <c r="B19" s="362"/>
      <c r="C19" s="363"/>
      <c r="D19" s="363"/>
      <c r="E19" s="378"/>
      <c r="F19" s="363"/>
      <c r="G19" s="364" t="s">
        <v>299</v>
      </c>
      <c r="H19" s="356" t="s">
        <v>258</v>
      </c>
    </row>
    <row r="20" spans="1:8" s="343" customFormat="1" ht="60">
      <c r="A20" s="362" t="s">
        <v>286</v>
      </c>
      <c r="B20" s="362"/>
      <c r="C20" s="363"/>
      <c r="D20" s="363"/>
      <c r="E20" s="378"/>
      <c r="F20" s="363"/>
      <c r="G20" s="364" t="s">
        <v>300</v>
      </c>
      <c r="H20" s="356" t="s">
        <v>259</v>
      </c>
    </row>
    <row r="21" spans="1:8" s="343" customFormat="1" ht="45">
      <c r="A21" s="342" t="s">
        <v>260</v>
      </c>
      <c r="B21" s="357">
        <v>7500000</v>
      </c>
      <c r="C21" s="363">
        <v>0</v>
      </c>
      <c r="D21" s="363">
        <v>0</v>
      </c>
      <c r="E21" s="378">
        <f>SUM(B21:D21)</f>
        <v>7500000</v>
      </c>
      <c r="F21" s="363" t="s">
        <v>270</v>
      </c>
      <c r="G21" s="364"/>
      <c r="H21" s="356" t="s">
        <v>312</v>
      </c>
    </row>
    <row r="22" spans="1:8" s="343" customFormat="1" ht="60">
      <c r="A22" s="362" t="s">
        <v>287</v>
      </c>
      <c r="B22" s="362"/>
      <c r="C22" s="365"/>
      <c r="D22" s="363"/>
      <c r="E22" s="378"/>
      <c r="F22" s="363"/>
      <c r="G22" s="364" t="s">
        <v>296</v>
      </c>
      <c r="H22" s="362" t="s">
        <v>261</v>
      </c>
    </row>
    <row r="23" spans="1:8" s="343" customFormat="1" ht="60">
      <c r="A23" s="362" t="s">
        <v>288</v>
      </c>
      <c r="B23" s="362"/>
      <c r="C23" s="363"/>
      <c r="D23" s="363"/>
      <c r="E23" s="378"/>
      <c r="F23" s="363"/>
      <c r="G23" s="364" t="s">
        <v>293</v>
      </c>
      <c r="H23" s="362" t="s">
        <v>262</v>
      </c>
    </row>
    <row r="24" spans="1:8" s="343" customFormat="1" ht="45">
      <c r="A24" s="362" t="s">
        <v>289</v>
      </c>
      <c r="B24" s="362"/>
      <c r="C24" s="363"/>
      <c r="D24" s="363"/>
      <c r="E24" s="378"/>
      <c r="F24" s="363"/>
      <c r="G24" s="364" t="s">
        <v>301</v>
      </c>
      <c r="H24" s="362" t="s">
        <v>263</v>
      </c>
    </row>
    <row r="25" spans="1:8" s="343" customFormat="1" ht="15.75">
      <c r="A25" s="358" t="s">
        <v>310</v>
      </c>
      <c r="B25" s="358"/>
      <c r="C25" s="359"/>
      <c r="D25" s="360"/>
      <c r="E25" s="381"/>
      <c r="F25" s="360"/>
      <c r="G25" s="361"/>
      <c r="H25" s="359"/>
    </row>
    <row r="26" spans="1:8" s="343" customFormat="1" ht="30">
      <c r="A26" s="342" t="s">
        <v>60</v>
      </c>
      <c r="B26" s="357">
        <v>2100000</v>
      </c>
      <c r="C26" s="357">
        <v>0</v>
      </c>
      <c r="D26" s="357">
        <v>0</v>
      </c>
      <c r="E26" s="379">
        <f>SUM(B26:D26)</f>
        <v>2100000</v>
      </c>
      <c r="F26" s="357" t="s">
        <v>270</v>
      </c>
      <c r="G26" s="380"/>
      <c r="H26" s="356" t="s">
        <v>291</v>
      </c>
    </row>
    <row r="27" spans="1:8" s="343" customFormat="1">
      <c r="A27" s="342" t="s">
        <v>25</v>
      </c>
      <c r="B27" s="286">
        <v>1300000</v>
      </c>
      <c r="C27" s="286">
        <v>0</v>
      </c>
      <c r="D27" s="286">
        <v>0</v>
      </c>
      <c r="E27" s="339">
        <f>SUM(B27:D27)</f>
        <v>1300000</v>
      </c>
      <c r="F27" s="286"/>
      <c r="G27" s="287"/>
      <c r="H27" s="287" t="s">
        <v>234</v>
      </c>
    </row>
    <row r="28" spans="1:8" s="343" customFormat="1" ht="30">
      <c r="A28" s="342" t="s">
        <v>231</v>
      </c>
      <c r="B28" s="357">
        <v>41800000</v>
      </c>
      <c r="C28" s="363">
        <v>0</v>
      </c>
      <c r="D28" s="363">
        <v>0</v>
      </c>
      <c r="E28" s="379">
        <f>SUM(B28:D28)</f>
        <v>41800000</v>
      </c>
      <c r="F28" s="363"/>
      <c r="G28" s="364"/>
      <c r="H28" s="362"/>
    </row>
    <row r="29" spans="1:8" s="343" customFormat="1" ht="15.75">
      <c r="A29" s="366" t="s">
        <v>264</v>
      </c>
      <c r="B29" s="367">
        <f>SUM(B5:B28)</f>
        <v>100800000</v>
      </c>
      <c r="C29" s="367">
        <f t="shared" ref="C29:D29" si="1">SUM(C5:C28)</f>
        <v>43800000</v>
      </c>
      <c r="D29" s="367">
        <f t="shared" si="1"/>
        <v>49700000</v>
      </c>
      <c r="E29" s="367">
        <f>SUM(B29:D29)</f>
        <v>194300000</v>
      </c>
      <c r="F29" s="367"/>
      <c r="G29" s="368"/>
      <c r="H29" s="369"/>
    </row>
    <row r="30" spans="1:8" s="343" customFormat="1" ht="15.75">
      <c r="A30" s="366" t="s">
        <v>265</v>
      </c>
      <c r="B30" s="367">
        <v>101245200</v>
      </c>
      <c r="C30" s="367">
        <v>49959900</v>
      </c>
      <c r="D30" s="367">
        <v>53189138</v>
      </c>
      <c r="E30" s="367">
        <f>SUM(B30:D30)</f>
        <v>204394238</v>
      </c>
      <c r="F30" s="367"/>
      <c r="G30" s="368"/>
      <c r="H30" s="369"/>
    </row>
    <row r="31" spans="1:8" s="343" customFormat="1" ht="15.75">
      <c r="A31" s="366" t="s">
        <v>266</v>
      </c>
      <c r="B31" s="367">
        <f>B30-B29</f>
        <v>445200</v>
      </c>
      <c r="C31" s="367">
        <f t="shared" ref="C31:D31" si="2">C30-C29</f>
        <v>6159900</v>
      </c>
      <c r="D31" s="367">
        <f t="shared" si="2"/>
        <v>3489138</v>
      </c>
      <c r="E31" s="367">
        <f>E30-E29</f>
        <v>10094238</v>
      </c>
      <c r="F31" s="367"/>
      <c r="G31" s="370"/>
      <c r="H31" s="369"/>
    </row>
    <row r="32" spans="1:8" s="343" customFormat="1" ht="31.5">
      <c r="A32" s="371" t="s">
        <v>267</v>
      </c>
      <c r="B32" s="367"/>
      <c r="C32" s="372"/>
      <c r="D32" s="372"/>
      <c r="E32" s="367">
        <f>E31</f>
        <v>10094238</v>
      </c>
      <c r="F32" s="372"/>
      <c r="G32" s="370"/>
      <c r="H32" s="373" t="s">
        <v>268</v>
      </c>
    </row>
    <row r="33" spans="1:6">
      <c r="C33" s="5"/>
      <c r="E33" s="374"/>
      <c r="F33" s="374"/>
    </row>
    <row r="34" spans="1:6" ht="18">
      <c r="A34" s="376"/>
      <c r="B34" s="376"/>
      <c r="E34" s="374"/>
      <c r="F34" s="374"/>
    </row>
    <row r="35" spans="1:6">
      <c r="E35" s="374"/>
      <c r="F35" s="374"/>
    </row>
    <row r="36" spans="1:6" ht="18">
      <c r="A36" s="376"/>
      <c r="B36" s="376"/>
      <c r="E36" s="374"/>
      <c r="F36" s="374"/>
    </row>
    <row r="37" spans="1:6" ht="18">
      <c r="A37" s="376"/>
      <c r="B37" s="376"/>
      <c r="E37" s="374"/>
      <c r="F37" s="374"/>
    </row>
    <row r="38" spans="1:6" ht="18">
      <c r="A38" s="376"/>
      <c r="B38" s="376"/>
      <c r="E38" s="374"/>
      <c r="F38" s="374"/>
    </row>
    <row r="39" spans="1:6" ht="18">
      <c r="A39" s="376"/>
      <c r="B39" s="376"/>
      <c r="E39" s="374"/>
      <c r="F39" s="374"/>
    </row>
    <row r="40" spans="1:6" ht="18">
      <c r="A40" s="376"/>
      <c r="B40" s="376"/>
      <c r="E40" s="374"/>
      <c r="F40" s="374"/>
    </row>
    <row r="41" spans="1:6">
      <c r="E41" s="374"/>
      <c r="F41" s="374"/>
    </row>
    <row r="42" spans="1:6">
      <c r="E42" s="374"/>
      <c r="F42" s="374"/>
    </row>
    <row r="43" spans="1:6">
      <c r="E43" s="374"/>
      <c r="F43" s="374"/>
    </row>
    <row r="44" spans="1:6">
      <c r="E44" s="374"/>
      <c r="F44" s="374"/>
    </row>
    <row r="45" spans="1:6">
      <c r="E45" s="374"/>
      <c r="F45" s="374"/>
    </row>
    <row r="46" spans="1:6">
      <c r="E46" s="374"/>
      <c r="F46" s="374"/>
    </row>
    <row r="47" spans="1:6">
      <c r="E47" s="374"/>
      <c r="F47" s="374"/>
    </row>
    <row r="48" spans="1:6">
      <c r="E48" s="374"/>
      <c r="F48" s="374"/>
    </row>
    <row r="49" spans="5:6">
      <c r="E49" s="374"/>
      <c r="F49" s="374"/>
    </row>
    <row r="50" spans="5:6">
      <c r="E50" s="374"/>
      <c r="F50" s="374"/>
    </row>
    <row r="51" spans="5:6">
      <c r="E51" s="374"/>
      <c r="F51" s="374"/>
    </row>
    <row r="52" spans="5:6">
      <c r="E52" s="374"/>
      <c r="F52" s="374"/>
    </row>
    <row r="53" spans="5:6">
      <c r="E53" s="374"/>
      <c r="F53" s="374"/>
    </row>
    <row r="54" spans="5:6">
      <c r="E54" s="374"/>
      <c r="F54" s="374"/>
    </row>
    <row r="55" spans="5:6">
      <c r="E55" s="374"/>
      <c r="F55" s="374"/>
    </row>
    <row r="56" spans="5:6">
      <c r="E56" s="374"/>
      <c r="F56" s="374"/>
    </row>
    <row r="57" spans="5:6">
      <c r="E57" s="374"/>
      <c r="F57" s="374"/>
    </row>
    <row r="58" spans="5:6">
      <c r="E58" s="374"/>
      <c r="F58" s="374"/>
    </row>
    <row r="59" spans="5:6">
      <c r="E59" s="374"/>
      <c r="F59" s="374"/>
    </row>
    <row r="60" spans="5:6">
      <c r="E60" s="374"/>
      <c r="F60" s="374"/>
    </row>
    <row r="61" spans="5:6">
      <c r="E61" s="374"/>
      <c r="F61" s="374"/>
    </row>
    <row r="62" spans="5:6">
      <c r="E62" s="374"/>
      <c r="F62" s="374"/>
    </row>
    <row r="63" spans="5:6">
      <c r="E63" s="374"/>
      <c r="F63" s="374"/>
    </row>
    <row r="64" spans="5:6">
      <c r="E64" s="374"/>
      <c r="F64" s="374"/>
    </row>
    <row r="65" spans="5:6">
      <c r="E65" s="374"/>
      <c r="F65" s="374"/>
    </row>
    <row r="66" spans="5:6">
      <c r="E66" s="374"/>
      <c r="F66" s="374"/>
    </row>
    <row r="67" spans="5:6">
      <c r="E67" s="374"/>
      <c r="F67" s="374"/>
    </row>
    <row r="68" spans="5:6">
      <c r="E68" s="374"/>
      <c r="F68" s="374"/>
    </row>
    <row r="69" spans="5:6">
      <c r="E69" s="374"/>
      <c r="F69" s="374"/>
    </row>
    <row r="70" spans="5:6">
      <c r="E70" s="374"/>
      <c r="F70" s="374"/>
    </row>
    <row r="71" spans="5:6">
      <c r="E71" s="374"/>
      <c r="F71" s="374"/>
    </row>
    <row r="72" spans="5:6">
      <c r="E72" s="374"/>
      <c r="F72" s="374"/>
    </row>
    <row r="73" spans="5:6">
      <c r="E73" s="374"/>
      <c r="F73" s="374"/>
    </row>
    <row r="74" spans="5:6">
      <c r="E74" s="374"/>
      <c r="F74" s="374"/>
    </row>
    <row r="75" spans="5:6">
      <c r="E75" s="374"/>
      <c r="F75" s="374"/>
    </row>
    <row r="76" spans="5:6">
      <c r="E76" s="374"/>
      <c r="F76" s="374"/>
    </row>
    <row r="77" spans="5:6">
      <c r="E77" s="374"/>
      <c r="F77" s="374"/>
    </row>
    <row r="78" spans="5:6">
      <c r="E78" s="374"/>
      <c r="F78" s="374"/>
    </row>
    <row r="79" spans="5:6">
      <c r="E79" s="374"/>
      <c r="F79" s="374"/>
    </row>
    <row r="80" spans="5:6">
      <c r="E80" s="374"/>
      <c r="F80" s="374"/>
    </row>
    <row r="81" spans="5:6">
      <c r="E81" s="374"/>
      <c r="F81" s="374"/>
    </row>
    <row r="82" spans="5:6">
      <c r="E82" s="374"/>
      <c r="F82" s="374"/>
    </row>
    <row r="83" spans="5:6">
      <c r="E83" s="374"/>
      <c r="F83" s="374"/>
    </row>
    <row r="84" spans="5:6">
      <c r="E84" s="374"/>
      <c r="F84" s="374"/>
    </row>
    <row r="85" spans="5:6">
      <c r="E85" s="374"/>
      <c r="F85" s="374"/>
    </row>
    <row r="86" spans="5:6">
      <c r="E86" s="374"/>
      <c r="F86" s="374"/>
    </row>
  </sheetData>
  <mergeCells count="2">
    <mergeCell ref="A1:H1"/>
    <mergeCell ref="A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7460-8424-4DD9-9FBD-953C36075DDC}">
  <dimension ref="A1:K24"/>
  <sheetViews>
    <sheetView workbookViewId="0">
      <selection activeCell="A8" sqref="A8"/>
    </sheetView>
  </sheetViews>
  <sheetFormatPr defaultColWidth="12.7109375" defaultRowHeight="15"/>
  <cols>
    <col min="1" max="1" width="31.85546875" customWidth="1"/>
    <col min="2" max="6" width="22.7109375" customWidth="1"/>
    <col min="7" max="7" width="29.85546875" customWidth="1"/>
    <col min="8" max="8" width="46.7109375" customWidth="1"/>
    <col min="9" max="9" width="34.85546875" customWidth="1"/>
  </cols>
  <sheetData>
    <row r="1" spans="1:11" ht="23.25">
      <c r="A1" s="437" t="s">
        <v>412</v>
      </c>
      <c r="B1" s="438"/>
      <c r="C1" s="438"/>
      <c r="D1" s="438"/>
      <c r="E1" s="438"/>
      <c r="F1" s="438"/>
      <c r="G1" s="438"/>
      <c r="H1" s="439"/>
      <c r="I1" s="281"/>
      <c r="J1" s="281"/>
      <c r="K1" s="281"/>
    </row>
    <row r="2" spans="1:11" ht="21">
      <c r="A2" s="447" t="s">
        <v>330</v>
      </c>
      <c r="B2" s="447"/>
      <c r="C2" s="447"/>
      <c r="D2" s="447"/>
      <c r="E2" s="447"/>
      <c r="F2" s="447"/>
      <c r="G2" s="447"/>
      <c r="H2" s="447"/>
    </row>
    <row r="3" spans="1:11" ht="45">
      <c r="A3" s="349" t="s">
        <v>313</v>
      </c>
      <c r="B3" s="377" t="s">
        <v>229</v>
      </c>
      <c r="C3" s="377" t="s">
        <v>227</v>
      </c>
      <c r="D3" s="377" t="s">
        <v>230</v>
      </c>
      <c r="E3" s="377" t="s">
        <v>228</v>
      </c>
      <c r="F3" s="377" t="s">
        <v>217</v>
      </c>
      <c r="G3" s="349" t="s">
        <v>167</v>
      </c>
      <c r="H3" s="349" t="s">
        <v>314</v>
      </c>
      <c r="I3" s="382"/>
    </row>
    <row r="4" spans="1:11">
      <c r="A4" s="383" t="s">
        <v>332</v>
      </c>
      <c r="B4" s="383"/>
      <c r="C4" s="383"/>
      <c r="D4" s="283"/>
      <c r="E4" s="283"/>
      <c r="F4" s="283"/>
      <c r="G4" s="283"/>
      <c r="H4" s="283"/>
    </row>
    <row r="5" spans="1:11" ht="60">
      <c r="A5" s="285" t="s">
        <v>69</v>
      </c>
      <c r="B5" s="286">
        <v>23600000</v>
      </c>
      <c r="C5" s="286">
        <v>0</v>
      </c>
      <c r="D5" s="286">
        <v>0</v>
      </c>
      <c r="E5" s="339">
        <f>SUM(B5:D5)</f>
        <v>23600000</v>
      </c>
      <c r="F5" s="286" t="s">
        <v>335</v>
      </c>
      <c r="G5" s="287"/>
      <c r="H5" s="287" t="s">
        <v>333</v>
      </c>
      <c r="I5" s="382"/>
    </row>
    <row r="6" spans="1:11" ht="30">
      <c r="A6" s="285" t="s">
        <v>81</v>
      </c>
      <c r="B6" s="286">
        <v>2300000</v>
      </c>
      <c r="C6" s="286">
        <v>0</v>
      </c>
      <c r="D6" s="286">
        <v>0</v>
      </c>
      <c r="E6" s="339">
        <f t="shared" ref="E6:E7" si="0">SUM(B6:D6)</f>
        <v>2300000</v>
      </c>
      <c r="F6" s="286"/>
      <c r="G6" s="287"/>
      <c r="H6" s="287" t="s">
        <v>334</v>
      </c>
      <c r="I6" s="382"/>
    </row>
    <row r="7" spans="1:11" ht="30">
      <c r="A7" s="285" t="s">
        <v>231</v>
      </c>
      <c r="B7" s="286">
        <v>46200000</v>
      </c>
      <c r="C7" s="286">
        <v>0</v>
      </c>
      <c r="D7" s="286">
        <v>0</v>
      </c>
      <c r="E7" s="339">
        <f t="shared" si="0"/>
        <v>46200000</v>
      </c>
      <c r="F7" s="286"/>
      <c r="G7" s="287"/>
      <c r="H7" s="287"/>
      <c r="I7" s="382"/>
    </row>
    <row r="8" spans="1:11">
      <c r="A8" s="383" t="s">
        <v>315</v>
      </c>
      <c r="B8" s="383"/>
      <c r="C8" s="383"/>
      <c r="D8" s="283"/>
      <c r="E8" s="283"/>
      <c r="F8" s="283"/>
      <c r="G8" s="283"/>
      <c r="H8" s="283"/>
      <c r="I8" s="384"/>
    </row>
    <row r="9" spans="1:11" ht="45">
      <c r="A9" s="285" t="s">
        <v>336</v>
      </c>
      <c r="B9" s="286">
        <v>0</v>
      </c>
      <c r="C9" s="286">
        <v>6400000</v>
      </c>
      <c r="D9" s="286">
        <v>8300000</v>
      </c>
      <c r="E9" s="339">
        <f t="shared" ref="E9:E18" si="1">SUM(B9:D9)</f>
        <v>14700000</v>
      </c>
      <c r="F9" s="286" t="s">
        <v>335</v>
      </c>
      <c r="G9" s="287" t="s">
        <v>316</v>
      </c>
      <c r="H9" s="287" t="s">
        <v>317</v>
      </c>
      <c r="I9" s="384"/>
    </row>
    <row r="10" spans="1:11" ht="45">
      <c r="A10" s="285" t="s">
        <v>72</v>
      </c>
      <c r="B10" s="286">
        <v>0</v>
      </c>
      <c r="C10" s="286">
        <v>15600000</v>
      </c>
      <c r="D10" s="286">
        <v>5400000</v>
      </c>
      <c r="E10" s="339">
        <f t="shared" si="1"/>
        <v>21000000</v>
      </c>
      <c r="F10" s="286" t="s">
        <v>335</v>
      </c>
      <c r="G10" s="287" t="s">
        <v>318</v>
      </c>
      <c r="H10" s="287" t="s">
        <v>319</v>
      </c>
      <c r="I10" s="382"/>
    </row>
    <row r="11" spans="1:11">
      <c r="A11" s="441" t="s">
        <v>74</v>
      </c>
      <c r="B11" s="441"/>
      <c r="C11" s="441"/>
      <c r="D11" s="283"/>
      <c r="E11" s="283"/>
      <c r="F11" s="283"/>
      <c r="G11" s="283"/>
      <c r="H11" s="283"/>
      <c r="I11" s="384"/>
    </row>
    <row r="12" spans="1:11" ht="30">
      <c r="A12" s="285" t="s">
        <v>75</v>
      </c>
      <c r="B12" s="286">
        <v>0</v>
      </c>
      <c r="C12" s="286">
        <v>0</v>
      </c>
      <c r="D12" s="286">
        <v>14700000</v>
      </c>
      <c r="E12" s="339">
        <f t="shared" si="1"/>
        <v>14700000</v>
      </c>
      <c r="F12" s="286" t="s">
        <v>335</v>
      </c>
      <c r="G12" s="287" t="s">
        <v>337</v>
      </c>
      <c r="H12" s="287" t="s">
        <v>338</v>
      </c>
      <c r="I12" s="384"/>
    </row>
    <row r="13" spans="1:11">
      <c r="A13" s="285" t="s">
        <v>76</v>
      </c>
      <c r="B13" s="286">
        <v>0</v>
      </c>
      <c r="C13" s="286">
        <v>6500000</v>
      </c>
      <c r="D13" s="286">
        <v>3500000</v>
      </c>
      <c r="E13" s="339">
        <f t="shared" si="1"/>
        <v>10000000</v>
      </c>
      <c r="F13" s="286" t="s">
        <v>335</v>
      </c>
      <c r="G13" s="287" t="s">
        <v>320</v>
      </c>
      <c r="H13" s="287" t="s">
        <v>339</v>
      </c>
      <c r="I13" s="384"/>
    </row>
    <row r="14" spans="1:11" ht="30">
      <c r="A14" s="285" t="s">
        <v>77</v>
      </c>
      <c r="B14" s="286">
        <v>0</v>
      </c>
      <c r="C14" s="286">
        <v>1800000</v>
      </c>
      <c r="D14" s="286">
        <v>1800000</v>
      </c>
      <c r="E14" s="339">
        <f t="shared" si="1"/>
        <v>3600000</v>
      </c>
      <c r="F14" s="286" t="s">
        <v>335</v>
      </c>
      <c r="G14" s="287" t="s">
        <v>321</v>
      </c>
      <c r="H14" s="287" t="s">
        <v>340</v>
      </c>
      <c r="I14" s="384"/>
      <c r="J14" s="2"/>
    </row>
    <row r="15" spans="1:11" ht="45">
      <c r="A15" s="285" t="s">
        <v>92</v>
      </c>
      <c r="B15" s="286">
        <v>0</v>
      </c>
      <c r="C15" s="286">
        <v>900000</v>
      </c>
      <c r="D15" s="286">
        <v>900000</v>
      </c>
      <c r="E15" s="339">
        <f t="shared" si="1"/>
        <v>1800000</v>
      </c>
      <c r="F15" s="286" t="s">
        <v>335</v>
      </c>
      <c r="G15" s="287" t="s">
        <v>322</v>
      </c>
      <c r="H15" s="287" t="s">
        <v>341</v>
      </c>
      <c r="I15" s="384"/>
    </row>
    <row r="16" spans="1:11" ht="30">
      <c r="A16" s="285" t="s">
        <v>79</v>
      </c>
      <c r="B16" s="286">
        <v>0</v>
      </c>
      <c r="C16" s="286">
        <v>300000</v>
      </c>
      <c r="D16" s="286">
        <v>300000</v>
      </c>
      <c r="E16" s="339">
        <f t="shared" si="1"/>
        <v>600000</v>
      </c>
      <c r="F16" s="286" t="s">
        <v>335</v>
      </c>
      <c r="G16" s="287" t="s">
        <v>323</v>
      </c>
      <c r="H16" s="287" t="s">
        <v>342</v>
      </c>
      <c r="I16" s="384"/>
    </row>
    <row r="17" spans="1:9">
      <c r="A17" s="285" t="s">
        <v>148</v>
      </c>
      <c r="B17" s="286">
        <v>0</v>
      </c>
      <c r="C17" s="286">
        <v>1200000</v>
      </c>
      <c r="D17" s="286">
        <v>0</v>
      </c>
      <c r="E17" s="339">
        <v>1200000</v>
      </c>
      <c r="F17" s="286" t="s">
        <v>335</v>
      </c>
      <c r="G17" s="287"/>
      <c r="H17" s="287" t="s">
        <v>149</v>
      </c>
      <c r="I17" s="391"/>
    </row>
    <row r="18" spans="1:9" ht="30">
      <c r="A18" s="285" t="s">
        <v>80</v>
      </c>
      <c r="B18" s="286">
        <v>0</v>
      </c>
      <c r="C18" s="286">
        <v>600000</v>
      </c>
      <c r="D18" s="286">
        <v>600000</v>
      </c>
      <c r="E18" s="339">
        <f t="shared" si="1"/>
        <v>1200000</v>
      </c>
      <c r="F18" s="286" t="s">
        <v>335</v>
      </c>
      <c r="G18" s="287" t="s">
        <v>324</v>
      </c>
      <c r="H18" s="287" t="s">
        <v>343</v>
      </c>
      <c r="I18" s="384"/>
    </row>
    <row r="19" spans="1:9">
      <c r="A19" s="385" t="s">
        <v>325</v>
      </c>
      <c r="B19" s="386">
        <f>SUM(B5:B18)</f>
        <v>72100000</v>
      </c>
      <c r="C19" s="386">
        <f>SUM(C5:C18)</f>
        <v>33300000</v>
      </c>
      <c r="D19" s="386">
        <f>SUM(D5:D18)</f>
        <v>35500000</v>
      </c>
      <c r="E19" s="386">
        <f>SUM(E5:E18)</f>
        <v>140900000</v>
      </c>
      <c r="F19" s="386"/>
      <c r="G19" s="387"/>
      <c r="H19" s="388"/>
      <c r="I19" s="384"/>
    </row>
    <row r="20" spans="1:9" ht="15.75">
      <c r="A20" s="385" t="s">
        <v>326</v>
      </c>
      <c r="B20" s="386">
        <v>67496800</v>
      </c>
      <c r="C20" s="386">
        <v>33306600</v>
      </c>
      <c r="D20" s="386">
        <v>35459425</v>
      </c>
      <c r="E20" s="386">
        <f>SUM(B20:D20)</f>
        <v>136262825</v>
      </c>
      <c r="F20" s="386"/>
      <c r="G20" s="389"/>
      <c r="H20" s="389"/>
      <c r="I20" s="390"/>
    </row>
    <row r="21" spans="1:9">
      <c r="A21" s="385" t="s">
        <v>327</v>
      </c>
      <c r="B21" s="386">
        <f>B20-B19</f>
        <v>-4603200</v>
      </c>
      <c r="C21" s="386">
        <f>C20-C19</f>
        <v>6600</v>
      </c>
      <c r="D21" s="386">
        <f>D20-D19</f>
        <v>-40575</v>
      </c>
      <c r="E21" s="386">
        <f>SUM(B21:D21)</f>
        <v>-4637175</v>
      </c>
      <c r="F21" s="386"/>
      <c r="G21" s="388"/>
      <c r="H21" s="388" t="s">
        <v>344</v>
      </c>
    </row>
    <row r="24" spans="1:9">
      <c r="D24" s="312"/>
      <c r="E24" s="312"/>
      <c r="F24" s="312"/>
    </row>
  </sheetData>
  <mergeCells count="3">
    <mergeCell ref="A1:H1"/>
    <mergeCell ref="A2:H2"/>
    <mergeCell ref="A11:C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703A-FB04-4B20-810C-800DB7223E74}">
  <dimension ref="A1:H37"/>
  <sheetViews>
    <sheetView workbookViewId="0">
      <selection activeCell="H9" sqref="H9"/>
    </sheetView>
  </sheetViews>
  <sheetFormatPr defaultColWidth="12.42578125" defaultRowHeight="15"/>
  <cols>
    <col min="1" max="1" width="35.140625" customWidth="1"/>
    <col min="2" max="2" width="23.42578125" customWidth="1"/>
    <col min="3" max="5" width="22.7109375" customWidth="1"/>
    <col min="6" max="6" width="22.7109375" style="2" customWidth="1"/>
    <col min="7" max="7" width="33.5703125" customWidth="1"/>
    <col min="8" max="8" width="107.42578125" customWidth="1"/>
  </cols>
  <sheetData>
    <row r="1" spans="1:8" ht="23.25">
      <c r="A1" s="437" t="s">
        <v>413</v>
      </c>
      <c r="B1" s="442"/>
      <c r="C1" s="442"/>
      <c r="D1" s="442"/>
      <c r="E1" s="442"/>
      <c r="F1" s="442"/>
      <c r="G1" s="442"/>
      <c r="H1" s="443"/>
    </row>
    <row r="2" spans="1:8" ht="21">
      <c r="A2" s="448" t="s">
        <v>396</v>
      </c>
      <c r="B2" s="449"/>
      <c r="C2" s="449"/>
      <c r="D2" s="449"/>
      <c r="E2" s="449"/>
      <c r="F2" s="449"/>
      <c r="G2" s="449"/>
      <c r="H2" s="450"/>
    </row>
    <row r="3" spans="1:8" ht="45">
      <c r="A3" s="349" t="s">
        <v>166</v>
      </c>
      <c r="B3" s="377" t="s">
        <v>229</v>
      </c>
      <c r="C3" s="377" t="s">
        <v>227</v>
      </c>
      <c r="D3" s="377" t="s">
        <v>230</v>
      </c>
      <c r="E3" s="377" t="s">
        <v>228</v>
      </c>
      <c r="F3" s="377" t="s">
        <v>217</v>
      </c>
      <c r="G3" s="349" t="s">
        <v>167</v>
      </c>
      <c r="H3" s="349" t="s">
        <v>2</v>
      </c>
    </row>
    <row r="4" spans="1:8">
      <c r="A4" s="313" t="s">
        <v>346</v>
      </c>
      <c r="B4" s="313"/>
      <c r="C4" s="283"/>
      <c r="D4" s="283"/>
      <c r="E4" s="283"/>
      <c r="F4" s="283"/>
      <c r="G4" s="283"/>
      <c r="H4" s="283"/>
    </row>
    <row r="5" spans="1:8" s="343" customFormat="1" ht="60">
      <c r="A5" s="392" t="s">
        <v>87</v>
      </c>
      <c r="B5" s="393">
        <v>4600000</v>
      </c>
      <c r="C5" s="393">
        <v>11800000</v>
      </c>
      <c r="D5" s="393">
        <v>12310000</v>
      </c>
      <c r="E5" s="418">
        <f>SUM(B5:D5)</f>
        <v>28710000</v>
      </c>
      <c r="F5" s="415" t="s">
        <v>397</v>
      </c>
      <c r="G5" s="395" t="s">
        <v>347</v>
      </c>
      <c r="H5" s="419" t="s">
        <v>417</v>
      </c>
    </row>
    <row r="6" spans="1:8" s="343" customFormat="1">
      <c r="A6" s="392" t="s">
        <v>132</v>
      </c>
      <c r="B6" s="393">
        <v>0</v>
      </c>
      <c r="C6" s="393">
        <v>700000</v>
      </c>
      <c r="D6" s="393">
        <v>300000</v>
      </c>
      <c r="E6" s="418">
        <f t="shared" ref="E6:E21" si="0">SUM(B6:D6)</f>
        <v>1000000</v>
      </c>
      <c r="F6" s="415"/>
      <c r="G6" s="395"/>
      <c r="H6" s="419" t="s">
        <v>348</v>
      </c>
    </row>
    <row r="7" spans="1:8" s="343" customFormat="1" ht="63.75">
      <c r="A7" s="392" t="s">
        <v>349</v>
      </c>
      <c r="B7" s="393">
        <v>1600000</v>
      </c>
      <c r="C7" s="393">
        <v>3380000</v>
      </c>
      <c r="D7" s="393">
        <v>3510000</v>
      </c>
      <c r="E7" s="418">
        <f t="shared" si="0"/>
        <v>8490000</v>
      </c>
      <c r="F7" s="286" t="s">
        <v>398</v>
      </c>
      <c r="G7" s="287" t="s">
        <v>350</v>
      </c>
      <c r="H7" s="403" t="s">
        <v>416</v>
      </c>
    </row>
    <row r="8" spans="1:8" s="343" customFormat="1" ht="38.25">
      <c r="A8" s="392" t="s">
        <v>351</v>
      </c>
      <c r="B8" s="393">
        <v>1000000</v>
      </c>
      <c r="C8" s="393">
        <v>3660000</v>
      </c>
      <c r="D8" s="393">
        <v>3750000</v>
      </c>
      <c r="E8" s="418">
        <f t="shared" si="0"/>
        <v>8410000</v>
      </c>
      <c r="F8" s="286" t="s">
        <v>399</v>
      </c>
      <c r="G8" s="287" t="s">
        <v>352</v>
      </c>
      <c r="H8" s="420" t="s">
        <v>415</v>
      </c>
    </row>
    <row r="9" spans="1:8" s="343" customFormat="1" ht="120">
      <c r="A9" s="392" t="s">
        <v>353</v>
      </c>
      <c r="B9" s="393">
        <v>4200000</v>
      </c>
      <c r="C9" s="393">
        <v>5800000</v>
      </c>
      <c r="D9" s="393">
        <v>5900000</v>
      </c>
      <c r="E9" s="418">
        <f t="shared" si="0"/>
        <v>15900000</v>
      </c>
      <c r="F9" s="286" t="s">
        <v>400</v>
      </c>
      <c r="G9" s="287" t="s">
        <v>354</v>
      </c>
      <c r="H9" s="403" t="s">
        <v>355</v>
      </c>
    </row>
    <row r="10" spans="1:8" s="343" customFormat="1" ht="90">
      <c r="A10" s="392" t="s">
        <v>356</v>
      </c>
      <c r="B10" s="393">
        <v>5100000</v>
      </c>
      <c r="C10" s="393">
        <v>3760000</v>
      </c>
      <c r="D10" s="393">
        <v>3860000</v>
      </c>
      <c r="E10" s="418">
        <f t="shared" si="0"/>
        <v>12720000</v>
      </c>
      <c r="F10" s="286" t="s">
        <v>401</v>
      </c>
      <c r="G10" s="287" t="s">
        <v>357</v>
      </c>
      <c r="H10" s="403" t="s">
        <v>418</v>
      </c>
    </row>
    <row r="11" spans="1:8" s="343" customFormat="1" ht="114.75">
      <c r="A11" s="392" t="s">
        <v>358</v>
      </c>
      <c r="B11" s="393">
        <v>4000000</v>
      </c>
      <c r="C11" s="393">
        <v>15560000</v>
      </c>
      <c r="D11" s="393">
        <v>16080000</v>
      </c>
      <c r="E11" s="418">
        <f t="shared" si="0"/>
        <v>35640000</v>
      </c>
      <c r="F11" s="286" t="s">
        <v>402</v>
      </c>
      <c r="G11" s="287" t="s">
        <v>359</v>
      </c>
      <c r="H11" s="403" t="s">
        <v>419</v>
      </c>
    </row>
    <row r="12" spans="1:8" s="343" customFormat="1" ht="150">
      <c r="A12" s="396" t="s">
        <v>360</v>
      </c>
      <c r="B12" s="286">
        <v>0</v>
      </c>
      <c r="C12" s="393">
        <v>1300000</v>
      </c>
      <c r="D12" s="393">
        <v>3270000</v>
      </c>
      <c r="E12" s="418">
        <f t="shared" si="0"/>
        <v>4570000</v>
      </c>
      <c r="F12" s="415" t="s">
        <v>401</v>
      </c>
      <c r="G12" s="397" t="s">
        <v>361</v>
      </c>
      <c r="H12" s="421" t="s">
        <v>362</v>
      </c>
    </row>
    <row r="13" spans="1:8" s="343" customFormat="1" ht="191.25">
      <c r="A13" s="398" t="s">
        <v>363</v>
      </c>
      <c r="B13" s="286">
        <v>0</v>
      </c>
      <c r="C13" s="393">
        <v>12490000</v>
      </c>
      <c r="D13" s="393">
        <v>12230000</v>
      </c>
      <c r="E13" s="418">
        <f t="shared" si="0"/>
        <v>24720000</v>
      </c>
      <c r="F13" s="286" t="s">
        <v>403</v>
      </c>
      <c r="G13" s="399" t="s">
        <v>364</v>
      </c>
      <c r="H13" s="422" t="s">
        <v>365</v>
      </c>
    </row>
    <row r="14" spans="1:8" s="343" customFormat="1" ht="105">
      <c r="A14" s="396" t="s">
        <v>366</v>
      </c>
      <c r="B14" s="286">
        <v>0</v>
      </c>
      <c r="C14" s="394">
        <v>10050000</v>
      </c>
      <c r="D14" s="394">
        <v>10380000</v>
      </c>
      <c r="E14" s="418">
        <f t="shared" si="0"/>
        <v>20430000</v>
      </c>
      <c r="F14" s="286" t="s">
        <v>404</v>
      </c>
      <c r="G14" s="287" t="s">
        <v>367</v>
      </c>
      <c r="H14" s="403" t="s">
        <v>368</v>
      </c>
    </row>
    <row r="15" spans="1:8" s="343" customFormat="1" ht="105">
      <c r="A15" s="400" t="s">
        <v>369</v>
      </c>
      <c r="B15" s="393">
        <v>7700000</v>
      </c>
      <c r="C15" s="394">
        <v>75100000</v>
      </c>
      <c r="D15" s="394">
        <v>45500000</v>
      </c>
      <c r="E15" s="418">
        <f t="shared" si="0"/>
        <v>128300000</v>
      </c>
      <c r="F15" s="286" t="s">
        <v>404</v>
      </c>
      <c r="G15" s="287" t="s">
        <v>370</v>
      </c>
      <c r="H15" s="403" t="s">
        <v>414</v>
      </c>
    </row>
    <row r="16" spans="1:8" s="343" customFormat="1" ht="90">
      <c r="A16" s="400" t="s">
        <v>371</v>
      </c>
      <c r="B16" s="286">
        <v>0</v>
      </c>
      <c r="C16" s="394">
        <v>0</v>
      </c>
      <c r="D16" s="394">
        <v>2000000</v>
      </c>
      <c r="E16" s="418">
        <f>SUM(B16:D16)</f>
        <v>2000000</v>
      </c>
      <c r="F16" s="286" t="s">
        <v>401</v>
      </c>
      <c r="G16" s="287" t="s">
        <v>372</v>
      </c>
      <c r="H16" s="403" t="s">
        <v>373</v>
      </c>
    </row>
    <row r="17" spans="1:8" s="343" customFormat="1" ht="120">
      <c r="A17" s="401" t="s">
        <v>374</v>
      </c>
      <c r="B17" s="286">
        <v>0</v>
      </c>
      <c r="C17" s="394">
        <v>1000000</v>
      </c>
      <c r="D17" s="394">
        <v>1000000</v>
      </c>
      <c r="E17" s="418">
        <f t="shared" si="0"/>
        <v>2000000</v>
      </c>
      <c r="F17" s="286" t="s">
        <v>400</v>
      </c>
      <c r="G17" s="287" t="s">
        <v>15</v>
      </c>
      <c r="H17" s="403" t="s">
        <v>375</v>
      </c>
    </row>
    <row r="18" spans="1:8" s="343" customFormat="1" ht="120">
      <c r="A18" s="402" t="s">
        <v>376</v>
      </c>
      <c r="B18" s="286">
        <v>0</v>
      </c>
      <c r="C18" s="393">
        <v>2030000</v>
      </c>
      <c r="D18" s="393">
        <v>1960000</v>
      </c>
      <c r="E18" s="418">
        <f t="shared" si="0"/>
        <v>3990000</v>
      </c>
      <c r="F18" s="286" t="s">
        <v>405</v>
      </c>
      <c r="G18" s="399" t="s">
        <v>377</v>
      </c>
      <c r="H18" s="422" t="s">
        <v>378</v>
      </c>
    </row>
    <row r="19" spans="1:8" s="343" customFormat="1" ht="90">
      <c r="A19" s="402" t="s">
        <v>379</v>
      </c>
      <c r="B19" s="286">
        <v>0</v>
      </c>
      <c r="C19" s="393">
        <v>1000000</v>
      </c>
      <c r="D19" s="393">
        <v>1000000</v>
      </c>
      <c r="E19" s="418">
        <f t="shared" si="0"/>
        <v>2000000</v>
      </c>
      <c r="F19" s="286" t="s">
        <v>401</v>
      </c>
      <c r="G19" s="399" t="s">
        <v>380</v>
      </c>
      <c r="H19" s="403" t="s">
        <v>381</v>
      </c>
    </row>
    <row r="20" spans="1:8" s="343" customFormat="1" ht="51">
      <c r="A20" s="404" t="s">
        <v>382</v>
      </c>
      <c r="B20" s="286">
        <v>0</v>
      </c>
      <c r="C20" s="393">
        <v>1800000</v>
      </c>
      <c r="D20" s="393">
        <v>100000</v>
      </c>
      <c r="E20" s="418">
        <f t="shared" si="0"/>
        <v>1900000</v>
      </c>
      <c r="F20" s="286"/>
      <c r="G20" s="405" t="s">
        <v>383</v>
      </c>
      <c r="H20" s="403" t="s">
        <v>410</v>
      </c>
    </row>
    <row r="21" spans="1:8" s="343" customFormat="1" ht="75">
      <c r="A21" s="406" t="s">
        <v>384</v>
      </c>
      <c r="B21" s="286">
        <v>0</v>
      </c>
      <c r="C21" s="393">
        <v>2000000</v>
      </c>
      <c r="D21" s="393">
        <v>2050000</v>
      </c>
      <c r="E21" s="418">
        <f t="shared" si="0"/>
        <v>4050000</v>
      </c>
      <c r="F21" s="416" t="s">
        <v>406</v>
      </c>
      <c r="G21" s="407" t="s">
        <v>385</v>
      </c>
      <c r="H21" s="403" t="s">
        <v>386</v>
      </c>
    </row>
    <row r="22" spans="1:8">
      <c r="A22" s="313" t="s">
        <v>387</v>
      </c>
      <c r="B22" s="313"/>
      <c r="C22" s="283"/>
      <c r="D22" s="283"/>
      <c r="E22" s="283"/>
      <c r="F22" s="283"/>
      <c r="G22" s="283"/>
      <c r="H22" s="423"/>
    </row>
    <row r="23" spans="1:8" ht="90">
      <c r="A23" s="408" t="s">
        <v>89</v>
      </c>
      <c r="B23" s="286">
        <v>0</v>
      </c>
      <c r="C23" s="394">
        <v>730000</v>
      </c>
      <c r="D23" s="394">
        <v>750000</v>
      </c>
      <c r="E23" s="418">
        <f>SUM(B23:D23)</f>
        <v>1480000</v>
      </c>
      <c r="F23" s="286" t="s">
        <v>407</v>
      </c>
      <c r="G23" s="287" t="s">
        <v>388</v>
      </c>
      <c r="H23" s="403" t="s">
        <v>420</v>
      </c>
    </row>
    <row r="24" spans="1:8" ht="150">
      <c r="A24" s="285" t="s">
        <v>389</v>
      </c>
      <c r="B24" s="286">
        <v>0</v>
      </c>
      <c r="C24" s="286">
        <f>500000</f>
        <v>500000</v>
      </c>
      <c r="D24" s="286">
        <f>500000</f>
        <v>500000</v>
      </c>
      <c r="E24" s="418">
        <f t="shared" ref="E24:E25" si="1">SUM(B24:D24)</f>
        <v>1000000</v>
      </c>
      <c r="F24" s="286" t="s">
        <v>408</v>
      </c>
      <c r="G24" s="287" t="s">
        <v>390</v>
      </c>
      <c r="H24" s="403" t="s">
        <v>391</v>
      </c>
    </row>
    <row r="25" spans="1:8">
      <c r="A25" s="285" t="s">
        <v>91</v>
      </c>
      <c r="B25" s="286">
        <v>0</v>
      </c>
      <c r="C25" s="286">
        <v>750000</v>
      </c>
      <c r="D25" s="286">
        <v>750000</v>
      </c>
      <c r="E25" s="418">
        <f t="shared" si="1"/>
        <v>1500000</v>
      </c>
      <c r="F25" s="286" t="s">
        <v>46</v>
      </c>
      <c r="G25" s="287" t="s">
        <v>15</v>
      </c>
      <c r="H25" s="403" t="s">
        <v>392</v>
      </c>
    </row>
    <row r="26" spans="1:8">
      <c r="A26" s="409" t="s">
        <v>393</v>
      </c>
      <c r="B26" s="409"/>
      <c r="C26" s="283"/>
      <c r="D26" s="283"/>
      <c r="E26" s="283"/>
      <c r="F26" s="283"/>
      <c r="G26" s="283"/>
      <c r="H26" s="283"/>
    </row>
    <row r="27" spans="1:8" ht="105">
      <c r="A27" s="340" t="s">
        <v>411</v>
      </c>
      <c r="B27" s="286">
        <v>0</v>
      </c>
      <c r="C27" s="286">
        <v>0</v>
      </c>
      <c r="D27" s="286">
        <v>0</v>
      </c>
      <c r="E27" s="418">
        <f>SUM(B27:D27)</f>
        <v>0</v>
      </c>
      <c r="F27" s="285"/>
      <c r="G27" s="285"/>
      <c r="H27" s="285"/>
    </row>
    <row r="28" spans="1:8" ht="15.75" customHeight="1">
      <c r="A28" s="424" t="s">
        <v>57</v>
      </c>
      <c r="B28" s="425"/>
      <c r="C28" s="425"/>
      <c r="D28" s="410"/>
      <c r="E28" s="410"/>
      <c r="F28" s="410"/>
      <c r="G28" s="410"/>
      <c r="H28" s="411"/>
    </row>
    <row r="29" spans="1:8" ht="38.25">
      <c r="A29" s="404" t="s">
        <v>57</v>
      </c>
      <c r="B29" s="394">
        <v>2000000</v>
      </c>
      <c r="C29" s="394">
        <v>6700000</v>
      </c>
      <c r="D29" s="394">
        <v>6900000</v>
      </c>
      <c r="E29" s="418">
        <v>13600000</v>
      </c>
      <c r="F29" s="286" t="s">
        <v>409</v>
      </c>
      <c r="G29" s="287" t="s">
        <v>394</v>
      </c>
      <c r="H29" s="403" t="s">
        <v>395</v>
      </c>
    </row>
    <row r="30" spans="1:8" ht="30">
      <c r="A30" s="285" t="s">
        <v>231</v>
      </c>
      <c r="B30" s="286">
        <v>16100000</v>
      </c>
      <c r="C30" s="286">
        <v>0</v>
      </c>
      <c r="D30" s="286">
        <v>0</v>
      </c>
      <c r="E30" s="339">
        <f t="shared" ref="E30" si="2">SUM(B30:D30)</f>
        <v>16100000</v>
      </c>
      <c r="F30" s="286"/>
      <c r="G30" s="287"/>
      <c r="H30" s="403"/>
    </row>
    <row r="31" spans="1:8" ht="15.75">
      <c r="A31" s="412" t="s">
        <v>264</v>
      </c>
      <c r="B31" s="386">
        <f>SUM(B5:B30)</f>
        <v>46300000</v>
      </c>
      <c r="C31" s="386">
        <f>SUM(C5:C30)</f>
        <v>160110000</v>
      </c>
      <c r="D31" s="386">
        <f>SUM(D5:D30)</f>
        <v>134100000</v>
      </c>
      <c r="E31" s="386">
        <f>SUM(B31:D31)</f>
        <v>340510000</v>
      </c>
      <c r="F31" s="417"/>
      <c r="G31" s="413"/>
      <c r="H31" s="413"/>
    </row>
    <row r="32" spans="1:8" ht="15.75">
      <c r="A32" s="429" t="s">
        <v>265</v>
      </c>
      <c r="B32" s="386">
        <v>168742000</v>
      </c>
      <c r="C32" s="386">
        <v>83266500</v>
      </c>
      <c r="D32" s="386">
        <v>88648564</v>
      </c>
      <c r="E32" s="386">
        <f>SUM(B32:D32)</f>
        <v>340657064</v>
      </c>
      <c r="F32" s="426"/>
      <c r="G32" s="427"/>
      <c r="H32" s="427"/>
    </row>
    <row r="33" spans="1:8" ht="15.75">
      <c r="A33" s="429" t="s">
        <v>266</v>
      </c>
      <c r="B33" s="386">
        <f>B32-B31</f>
        <v>122442000</v>
      </c>
      <c r="C33" s="386">
        <f t="shared" ref="C33:D33" si="3">C32-C31</f>
        <v>-76843500</v>
      </c>
      <c r="D33" s="386">
        <f t="shared" si="3"/>
        <v>-45451436</v>
      </c>
      <c r="E33" s="386">
        <f>SUM(B33:D33)</f>
        <v>147064</v>
      </c>
      <c r="F33" s="428"/>
      <c r="G33" s="427"/>
      <c r="H33" s="427"/>
    </row>
    <row r="37" spans="1:8" ht="15.75">
      <c r="C37" s="414"/>
    </row>
  </sheetData>
  <mergeCells count="2">
    <mergeCell ref="A1:H1"/>
    <mergeCell ref="A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FINAL 7.27.21</vt:lpstr>
      <vt:lpstr>Housing</vt:lpstr>
      <vt:lpstr>Prevention</vt:lpstr>
      <vt:lpstr>Shelter and Hygiene</vt:lpstr>
      <vt:lpstr>Mental Health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Laura (CON)</dc:creator>
  <cp:lastModifiedBy>Marshall, Laura (CON)</cp:lastModifiedBy>
  <cp:lastPrinted>2021-04-20T00:33:44Z</cp:lastPrinted>
  <dcterms:created xsi:type="dcterms:W3CDTF">2021-04-17T01:18:58Z</dcterms:created>
  <dcterms:modified xsi:type="dcterms:W3CDTF">2021-07-29T22:24:07Z</dcterms:modified>
</cp:coreProperties>
</file>